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pslo-my.sharepoint.com/personal/bplo_calpoly_edu/Documents/0. Current Quarter - Fall 2021/GRC 404/"/>
    </mc:Choice>
  </mc:AlternateContent>
  <xr:revisionPtr revIDLastSave="723" documentId="8_{E698AAA6-8A27-4EBD-AF60-850981861EC6}" xr6:coauthVersionLast="47" xr6:coauthVersionMax="47" xr10:uidLastSave="{4C150480-3DE8-004D-8BC1-B30E18132AC0}"/>
  <bookViews>
    <workbookView xWindow="2250" yWindow="1800" windowWidth="30600" windowHeight="18660" tabRatio="865" xr2:uid="{00000000-000D-0000-FFFF-FFFF00000000}"/>
  </bookViews>
  <sheets>
    <sheet name="Book Design Estimating" sheetId="13" r:id="rId1"/>
    <sheet name="Cover Design Table" sheetId="9" r:id="rId2"/>
    <sheet name="Interior Design Table" sheetId="10" r:id="rId3"/>
    <sheet name="Designer Hourly Rates" sheetId="2" r:id="rId4"/>
    <sheet name="Production Hourly Rate" sheetId="8" r:id="rId5"/>
  </sheets>
  <definedNames>
    <definedName name="Lookup_array_Cover_Design">'Cover Design Table'!$A$1:$N$1</definedName>
    <definedName name="Lookup_array_Intellectual_Property_Rights">'Cover Design Table'!$A$15:$B$15</definedName>
    <definedName name="Lookup_array_Interior_additionals">'Interior Design Table'!$A$9:$E$9</definedName>
    <definedName name="Lookup_array_Interior_design">'Interior Design Table'!$A$1:$V$1</definedName>
    <definedName name="Lookup_array_Production_rate">'Production Hourly Rate'!$A$1:$E$1</definedName>
    <definedName name="Menu_Additional_Concept">'Cover Design Table'!$G$1:$I$1</definedName>
    <definedName name="Menu_Additional_Cover_Concept">'Cover Design Table'!$G$1:$I$1</definedName>
    <definedName name="Menu_Complex_Cover_Illustration">'Cover Design Table'!$K$1:$M$1</definedName>
    <definedName name="Menu_Cover_Design">'Cover Design Table'!$A$1:$A$12</definedName>
    <definedName name="Menu_Freelance_Rates">'Designer Hourly Rates'!$A$1:$A$12</definedName>
    <definedName name="Menu_Initial_Cover_Concept">'Cover Design Table'!$B$1:$D$1</definedName>
    <definedName name="Menu_Intellectual_Property_Rights">'Cover Design Table'!$A$15:$A$19</definedName>
    <definedName name="Menu_Interior_design_category">'Interior Design Table'!$A$2:$A$6</definedName>
    <definedName name="Menu_Interior_design_complexity">'Interior Design Table'!$B$1:$D$1</definedName>
    <definedName name="Menu_Interior_illustration_complexity">'Interior Design Table'!$F$1:$Q$1</definedName>
    <definedName name="Menu_Page_makeup">'Interior Design Table'!$S$1:$U$1</definedName>
    <definedName name="Menu_Production_Activity">'Production Hourly Rate'!$A$2:$A$4</definedName>
    <definedName name="Menu_Production_rate">'Production Hourly Rate'!$B$1:$E$1</definedName>
    <definedName name="Menu_Sketch_complexity">'Interior Design Table'!$B$9:$D$9</definedName>
    <definedName name="Table_array_Cover_Design">'Cover Design Table'!$A$1:$N$12</definedName>
    <definedName name="Table_array_Freelance_rates">'Designer Hourly Rates'!$A$1:$B$12</definedName>
    <definedName name="Table_array_Interior_additionals">'Interior Design Table'!$A$9:$E$11</definedName>
    <definedName name="Table_array_Interior_design">'Interior Design Table'!$A$1:$V$6</definedName>
    <definedName name="Table_Array_IRP">'Cover Design Table'!$A$15:$B$19</definedName>
    <definedName name="Table_array_Production_rate">'Production Hourly Rate'!$A$1:$E$4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2" i="13" l="1"/>
  <c r="H31" i="13"/>
  <c r="H33" i="13"/>
  <c r="F32" i="13"/>
  <c r="F31" i="13"/>
  <c r="F11" i="13"/>
  <c r="G11" i="13"/>
  <c r="E9" i="13"/>
  <c r="D9" i="13"/>
  <c r="C27" i="13"/>
  <c r="C28" i="13"/>
  <c r="C29" i="13"/>
  <c r="C30" i="13"/>
  <c r="C26" i="13"/>
  <c r="E7" i="13"/>
  <c r="C13" i="13"/>
  <c r="C14" i="13"/>
  <c r="C15" i="13"/>
  <c r="C12" i="13"/>
  <c r="D8" i="13"/>
  <c r="C8" i="13"/>
  <c r="D7" i="13"/>
  <c r="C7" i="13"/>
  <c r="H25" i="13"/>
  <c r="F25" i="13"/>
  <c r="G25" i="13"/>
  <c r="G39" i="13"/>
  <c r="H39" i="13"/>
  <c r="G40" i="13"/>
  <c r="H40" i="13"/>
  <c r="I40" i="13"/>
  <c r="H38" i="13"/>
  <c r="G38" i="13"/>
  <c r="G34" i="13"/>
  <c r="H34" i="13"/>
  <c r="G35" i="13"/>
  <c r="H35" i="13"/>
  <c r="G36" i="13"/>
  <c r="H36" i="13"/>
  <c r="G37" i="13"/>
  <c r="H37" i="13"/>
  <c r="G33" i="13"/>
  <c r="G22" i="13"/>
  <c r="H22" i="13"/>
  <c r="G21" i="13"/>
  <c r="H21" i="13"/>
  <c r="I21" i="13"/>
  <c r="H20" i="13"/>
  <c r="G20" i="13"/>
  <c r="G18" i="13"/>
  <c r="I18" i="13"/>
  <c r="G19" i="13"/>
  <c r="H19" i="13"/>
  <c r="F16" i="13"/>
  <c r="G16" i="13"/>
  <c r="H17" i="13"/>
  <c r="G17" i="13"/>
  <c r="H11" i="13"/>
  <c r="D2" i="8"/>
  <c r="C3" i="8"/>
  <c r="D3" i="8"/>
  <c r="C4" i="8"/>
  <c r="D4" i="8"/>
  <c r="C2" i="8"/>
  <c r="I37" i="13"/>
  <c r="I38" i="13"/>
  <c r="F26" i="13"/>
  <c r="G26" i="13"/>
  <c r="H28" i="13"/>
  <c r="F12" i="13"/>
  <c r="F30" i="13"/>
  <c r="G30" i="13"/>
  <c r="H30" i="13"/>
  <c r="H26" i="13"/>
  <c r="H29" i="13"/>
  <c r="I17" i="13"/>
  <c r="I25" i="13"/>
  <c r="H27" i="13"/>
  <c r="F29" i="13"/>
  <c r="G29" i="13"/>
  <c r="I29" i="13"/>
  <c r="F28" i="13"/>
  <c r="G28" i="13"/>
  <c r="I28" i="13"/>
  <c r="I35" i="13"/>
  <c r="F27" i="13"/>
  <c r="G27" i="13"/>
  <c r="I27" i="13"/>
  <c r="I20" i="13"/>
  <c r="I11" i="13"/>
  <c r="I39" i="13"/>
  <c r="I36" i="13"/>
  <c r="I33" i="13"/>
  <c r="I34" i="13"/>
  <c r="I22" i="13"/>
  <c r="I19" i="13"/>
  <c r="I26" i="13"/>
  <c r="I30" i="13"/>
  <c r="I12" i="13"/>
  <c r="H13" i="13"/>
  <c r="F13" i="13"/>
  <c r="G13" i="13"/>
  <c r="I41" i="13"/>
  <c r="I13" i="13"/>
  <c r="H14" i="13"/>
  <c r="F14" i="13"/>
  <c r="G14" i="13"/>
  <c r="I14" i="13"/>
  <c r="F15" i="13"/>
  <c r="G15" i="13"/>
  <c r="H15" i="13"/>
  <c r="I15" i="13"/>
  <c r="I16" i="13"/>
  <c r="I23" i="13"/>
  <c r="I43" i="13"/>
  <c r="G43" i="13"/>
</calcChain>
</file>

<file path=xl/sharedStrings.xml><?xml version="1.0" encoding="utf-8"?>
<sst xmlns="http://schemas.openxmlformats.org/spreadsheetml/2006/main" count="152" uniqueCount="121">
  <si>
    <t>Freelance Rates</t>
    <phoneticPr fontId="5" type="noConversion"/>
  </si>
  <si>
    <t>Web developer: UI</t>
    <phoneticPr fontId="5" type="noConversion"/>
  </si>
  <si>
    <t>Web designer</t>
    <phoneticPr fontId="5" type="noConversion"/>
  </si>
  <si>
    <t>Web producer</t>
    <phoneticPr fontId="5" type="noConversion"/>
  </si>
  <si>
    <t>Web programmer</t>
    <phoneticPr fontId="5" type="noConversion"/>
  </si>
  <si>
    <t>Content developer</t>
    <phoneticPr fontId="5" type="noConversion"/>
  </si>
  <si>
    <t>Figures from American Institute of Graphic Arts (AIGA) and excerpted from the AIGA/Aquent Survey of Design Salaries 2003</t>
    <phoneticPr fontId="5" type="noConversion"/>
  </si>
  <si>
    <t>Production rate - complex</t>
    <phoneticPr fontId="5" type="noConversion"/>
  </si>
  <si>
    <t>Production rate - very complex</t>
    <phoneticPr fontId="5" type="noConversion"/>
  </si>
  <si>
    <t>Production rate - simple</t>
    <phoneticPr fontId="5" type="noConversion"/>
  </si>
  <si>
    <t>Client Name</t>
    <phoneticPr fontId="5" type="noConversion"/>
  </si>
  <si>
    <t>Project Title</t>
    <phoneticPr fontId="5" type="noConversion"/>
  </si>
  <si>
    <t>Description</t>
    <phoneticPr fontId="5" type="noConversion"/>
  </si>
  <si>
    <t>Book width</t>
    <phoneticPr fontId="5" type="noConversion"/>
  </si>
  <si>
    <t>Book height</t>
    <phoneticPr fontId="5" type="noConversion"/>
  </si>
  <si>
    <t>Page count</t>
    <phoneticPr fontId="5" type="noConversion"/>
  </si>
  <si>
    <t>Production rate - average</t>
    <phoneticPr fontId="5" type="noConversion"/>
  </si>
  <si>
    <t>Designer</t>
    <phoneticPr fontId="5" type="noConversion"/>
  </si>
  <si>
    <t>Senior designer</t>
    <phoneticPr fontId="5" type="noConversion"/>
  </si>
  <si>
    <t>Creative director/designer</t>
    <phoneticPr fontId="5" type="noConversion"/>
  </si>
  <si>
    <t>Art director</t>
    <phoneticPr fontId="5" type="noConversion"/>
  </si>
  <si>
    <t>Print production artists</t>
    <phoneticPr fontId="5" type="noConversion"/>
  </si>
  <si>
    <t>Print production manager</t>
    <phoneticPr fontId="5" type="noConversion"/>
  </si>
  <si>
    <t>Layout Tight</t>
    <phoneticPr fontId="5" type="noConversion"/>
  </si>
  <si>
    <t>Electronic Prepress</t>
    <phoneticPr fontId="5" type="noConversion"/>
  </si>
  <si>
    <t>Item</t>
  </si>
  <si>
    <t>Type</t>
  </si>
  <si>
    <t>Num./hrs</t>
  </si>
  <si>
    <t>Difficulty</t>
  </si>
  <si>
    <t>Table values</t>
  </si>
  <si>
    <t>Hours</t>
  </si>
  <si>
    <t>BHR</t>
  </si>
  <si>
    <t>Total</t>
  </si>
  <si>
    <t>COVER</t>
  </si>
  <si>
    <t>Cover Design (one concept)</t>
  </si>
  <si>
    <t>Mass market (PB)</t>
  </si>
  <si>
    <t>Complex initial concept</t>
  </si>
  <si>
    <t>Jacket Wrap Upcharge?</t>
  </si>
  <si>
    <t>Additional Concepts</t>
  </si>
  <si>
    <t>Complex additional concept (ea)</t>
  </si>
  <si>
    <t>Cover Illustrations</t>
  </si>
  <si>
    <t>Average Illustration (ea)</t>
  </si>
  <si>
    <t>Cover Illustrations (other)</t>
  </si>
  <si>
    <t>Intelectural Property Rights</t>
  </si>
  <si>
    <t>Additional design time</t>
  </si>
  <si>
    <t>Additional design time (other)</t>
  </si>
  <si>
    <t>Additional Production art time</t>
  </si>
  <si>
    <t>Additional Production art time (other)</t>
  </si>
  <si>
    <t>Cover Total</t>
  </si>
  <si>
    <t>INTERIOR</t>
  </si>
  <si>
    <t>Page Design (four sample pgs)</t>
  </si>
  <si>
    <t>Mass market</t>
  </si>
  <si>
    <t>Average design</t>
  </si>
  <si>
    <t>Interior Illustrations</t>
  </si>
  <si>
    <t>Simple Illustration - Quarter page/spot</t>
  </si>
  <si>
    <t>Interior Illustrations (other)</t>
  </si>
  <si>
    <t>Page Makeup</t>
  </si>
  <si>
    <t>Average page makeup (ea)</t>
  </si>
  <si>
    <t>Concept sketches (per sketch)</t>
  </si>
  <si>
    <t>Design prototype (per prototype)</t>
  </si>
  <si>
    <t>Interior Total</t>
  </si>
  <si>
    <t>Total Time</t>
  </si>
  <si>
    <t>TOTAL COST</t>
  </si>
  <si>
    <t>-------Hardback Cover Design-------</t>
  </si>
  <si>
    <t>Average initial concept</t>
  </si>
  <si>
    <t>Simple initial concept</t>
  </si>
  <si>
    <t>Warp around additional (% added to fee)</t>
  </si>
  <si>
    <t>Initial Concept BHR</t>
  </si>
  <si>
    <t>Average additional concept (ea)</t>
  </si>
  <si>
    <t>Simple additional concept (ea)</t>
  </si>
  <si>
    <t>Additional Concept BHR</t>
  </si>
  <si>
    <t>Complex Illustration (ea)</t>
  </si>
  <si>
    <t>Simple Illustration (ea)</t>
  </si>
  <si>
    <t>Illustration BHR</t>
  </si>
  <si>
    <t>Mass market (HC)</t>
  </si>
  <si>
    <t>Major trade (HC)</t>
  </si>
  <si>
    <t>Minor trade (HC)</t>
  </si>
  <si>
    <t>Textbook (HC)</t>
  </si>
  <si>
    <t>Young adult (HC)</t>
  </si>
  <si>
    <t>-------Paperback Cover Design-------</t>
  </si>
  <si>
    <t>Major trade (PB)</t>
  </si>
  <si>
    <t>Minor trade (PB)</t>
  </si>
  <si>
    <t>Textbook (PB)</t>
  </si>
  <si>
    <t>Young adult (PB)</t>
  </si>
  <si>
    <t>-------Intellectual Property Rights-------</t>
  </si>
  <si>
    <t>% added to fee</t>
  </si>
  <si>
    <t>Sale of original art</t>
  </si>
  <si>
    <t>Sale of stock art</t>
  </si>
  <si>
    <t>World publication rights</t>
  </si>
  <si>
    <t>Total copyright transfer</t>
  </si>
  <si>
    <t>Complex design</t>
  </si>
  <si>
    <t>Simple design</t>
  </si>
  <si>
    <t>Complex Illustration - spread</t>
  </si>
  <si>
    <t>Average Illustration - spread</t>
  </si>
  <si>
    <t>Simple Illustration - spread</t>
  </si>
  <si>
    <t>Complex Illustration - Full page</t>
  </si>
  <si>
    <t>Average Illustration - Full page</t>
  </si>
  <si>
    <t>Simple Illustration - Full page</t>
  </si>
  <si>
    <t>Complex Illustration - Half page</t>
  </si>
  <si>
    <t>Average Illustration - Half page</t>
  </si>
  <si>
    <t>Simple Illustration - Half page</t>
  </si>
  <si>
    <t>Complex Illustration - Quarter page/spot</t>
  </si>
  <si>
    <t>Average Illustration - Quarter page/spot</t>
  </si>
  <si>
    <t>Complex page makeup (ea)</t>
  </si>
  <si>
    <t>Simple page makeup (ea)</t>
  </si>
  <si>
    <t>Major trade</t>
  </si>
  <si>
    <t>Minor trade</t>
  </si>
  <si>
    <t>Textbook</t>
  </si>
  <si>
    <t>Young adult</t>
  </si>
  <si>
    <t>-------Additionals-------</t>
  </si>
  <si>
    <t>Complex (ea)</t>
  </si>
  <si>
    <t>Average (ea)</t>
  </si>
  <si>
    <t>Simple (ea)</t>
  </si>
  <si>
    <t>Red &amp; Blue borders = Conditional Formatting of cell (explained in class)</t>
  </si>
  <si>
    <t>Two</t>
  </si>
  <si>
    <t>Creative director/designer</t>
  </si>
  <si>
    <t>Layout comp</t>
  </si>
  <si>
    <t>Layout Tight</t>
  </si>
  <si>
    <t>Production rate - complex</t>
  </si>
  <si>
    <t>Electronic Prepress</t>
  </si>
  <si>
    <t>Estimating book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</si>
</sst>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9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9" fontId="0" fillId="0" borderId="0" xfId="0" applyNumberFormat="1"/>
    <xf numFmtId="0" fontId="2" fillId="0" borderId="0" xfId="0" applyFont="1"/>
    <xf numFmtId="164" fontId="0" fillId="0" borderId="0" xfId="0" applyNumberFormat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  <xf numFmtId="0" fontId="0" fillId="0" borderId="0" xfId="0" applyAlignment="1">
      <alignment wrapText="1"/>
    </xf>
    <xf numFmtId="0" fontId="1" fillId="0" borderId="1" xfId="0" applyFont="1" applyBorder="1"/>
    <xf numFmtId="0" fontId="6" fillId="0" borderId="0" xfId="0" applyFont="1"/>
    <xf numFmtId="0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0" fillId="3" borderId="1" xfId="0" applyFill="1" applyBorder="1" applyAlignment="1" applyProtection="1">
      <alignment horizontal="left"/>
      <protection locked="0"/>
    </xf>
    <xf numFmtId="0" fontId="0" fillId="0" borderId="3" xfId="0" applyBorder="1"/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5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/>
    <xf numFmtId="0" fontId="0" fillId="0" borderId="7" xfId="0" applyBorder="1"/>
    <xf numFmtId="165" fontId="7" fillId="2" borderId="8" xfId="0" applyNumberFormat="1" applyFont="1" applyFill="1" applyBorder="1"/>
    <xf numFmtId="164" fontId="0" fillId="2" borderId="5" xfId="0" applyNumberFormat="1" applyFill="1" applyBorder="1"/>
    <xf numFmtId="0" fontId="0" fillId="2" borderId="7" xfId="0" applyFill="1" applyBorder="1"/>
    <xf numFmtId="0" fontId="0" fillId="0" borderId="9" xfId="0" applyBorder="1" applyProtection="1">
      <protection locked="0"/>
    </xf>
    <xf numFmtId="164" fontId="0" fillId="4" borderId="5" xfId="0" applyNumberFormat="1" applyFill="1" applyBorder="1"/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/>
    <xf numFmtId="165" fontId="1" fillId="0" borderId="8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164" fontId="1" fillId="2" borderId="5" xfId="0" applyNumberFormat="1" applyFont="1" applyFill="1" applyBorder="1"/>
    <xf numFmtId="0" fontId="0" fillId="0" borderId="6" xfId="0" applyBorder="1"/>
    <xf numFmtId="0" fontId="0" fillId="0" borderId="10" xfId="0" applyBorder="1"/>
    <xf numFmtId="165" fontId="1" fillId="0" borderId="8" xfId="0" applyNumberFormat="1" applyFont="1" applyBorder="1"/>
    <xf numFmtId="164" fontId="1" fillId="0" borderId="8" xfId="0" applyNumberFormat="1" applyFont="1" applyBorder="1"/>
    <xf numFmtId="164" fontId="1" fillId="0" borderId="5" xfId="0" applyNumberFormat="1" applyFont="1" applyBorder="1"/>
    <xf numFmtId="0" fontId="0" fillId="0" borderId="5" xfId="0" applyBorder="1"/>
    <xf numFmtId="165" fontId="0" fillId="0" borderId="8" xfId="0" applyNumberFormat="1" applyBorder="1"/>
    <xf numFmtId="0" fontId="0" fillId="0" borderId="11" xfId="0" applyBorder="1"/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0" fillId="0" borderId="8" xfId="0" applyBorder="1"/>
    <xf numFmtId="165" fontId="1" fillId="2" borderId="8" xfId="0" applyNumberFormat="1" applyFont="1" applyFill="1" applyBorder="1"/>
    <xf numFmtId="0" fontId="1" fillId="2" borderId="5" xfId="0" applyFont="1" applyFill="1" applyBorder="1"/>
    <xf numFmtId="164" fontId="1" fillId="0" borderId="5" xfId="0" applyNumberFormat="1" applyFont="1" applyBorder="1" applyAlignment="1">
      <alignment horizontal="center"/>
    </xf>
    <xf numFmtId="0" fontId="1" fillId="0" borderId="4" xfId="0" applyFont="1" applyBorder="1"/>
    <xf numFmtId="0" fontId="0" fillId="2" borderId="5" xfId="0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5" xfId="0" applyFill="1" applyBorder="1"/>
    <xf numFmtId="165" fontId="0" fillId="2" borderId="5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0" fillId="0" borderId="5" xfId="1" applyNumberFormat="1" applyFont="1" applyFill="1" applyBorder="1" applyAlignment="1">
      <alignment horizontal="center"/>
    </xf>
    <xf numFmtId="0" fontId="0" fillId="0" borderId="4" xfId="0" applyBorder="1"/>
    <xf numFmtId="0" fontId="1" fillId="0" borderId="0" xfId="0" applyFont="1"/>
    <xf numFmtId="165" fontId="0" fillId="0" borderId="5" xfId="0" applyNumberFormat="1" applyBorder="1" applyAlignment="1">
      <alignment horizontal="center"/>
    </xf>
    <xf numFmtId="0" fontId="0" fillId="5" borderId="7" xfId="0" applyFill="1" applyBorder="1" applyProtection="1">
      <protection locked="0"/>
    </xf>
    <xf numFmtId="165" fontId="0" fillId="6" borderId="8" xfId="0" applyNumberFormat="1" applyFill="1" applyBorder="1"/>
    <xf numFmtId="9" fontId="0" fillId="6" borderId="8" xfId="0" applyNumberFormat="1" applyFill="1" applyBorder="1"/>
    <xf numFmtId="164" fontId="0" fillId="6" borderId="8" xfId="0" applyNumberFormat="1" applyFill="1" applyBorder="1"/>
    <xf numFmtId="0" fontId="0" fillId="0" borderId="1" xfId="0" applyBorder="1" applyProtection="1">
      <protection locked="0"/>
    </xf>
    <xf numFmtId="0" fontId="7" fillId="0" borderId="0" xfId="0" applyFont="1"/>
    <xf numFmtId="9" fontId="0" fillId="4" borderId="5" xfId="0" applyNumberFormat="1" applyFill="1" applyBorder="1" applyAlignment="1">
      <alignment horizontal="center"/>
    </xf>
    <xf numFmtId="164" fontId="1" fillId="4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9" fontId="0" fillId="6" borderId="8" xfId="2" applyFont="1" applyFill="1" applyBorder="1"/>
    <xf numFmtId="2" fontId="7" fillId="2" borderId="8" xfId="0" applyNumberFormat="1" applyFont="1" applyFill="1" applyBorder="1"/>
    <xf numFmtId="0" fontId="0" fillId="3" borderId="1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164" fontId="0" fillId="0" borderId="12" xfId="0" applyNumberFormat="1" applyBorder="1" applyAlignment="1">
      <alignment horizontal="center"/>
    </xf>
    <xf numFmtId="0" fontId="4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zoomScaleNormal="100" workbookViewId="0">
      <selection activeCell="C21" sqref="C21"/>
    </sheetView>
  </sheetViews>
  <sheetFormatPr defaultColWidth="11" defaultRowHeight="12.75" x14ac:dyDescent="0.2"/>
  <cols>
    <col min="1" max="1" width="12.875" customWidth="1"/>
    <col min="2" max="2" width="33.375" customWidth="1"/>
    <col min="3" max="3" width="22.625" bestFit="1" customWidth="1"/>
    <col min="4" max="4" width="7.5" customWidth="1"/>
    <col min="5" max="5" width="28.125" bestFit="1" customWidth="1"/>
    <col min="6" max="6" width="14.5" customWidth="1"/>
    <col min="8" max="8" width="14.125" customWidth="1"/>
    <col min="9" max="9" width="13" customWidth="1"/>
  </cols>
  <sheetData>
    <row r="1" spans="1:9" x14ac:dyDescent="0.2">
      <c r="A1" s="10" t="s">
        <v>10</v>
      </c>
      <c r="B1" s="14"/>
      <c r="D1" s="66" t="s">
        <v>113</v>
      </c>
      <c r="E1" s="11"/>
    </row>
    <row r="2" spans="1:9" x14ac:dyDescent="0.2">
      <c r="A2" s="10" t="s">
        <v>11</v>
      </c>
      <c r="B2" s="14"/>
      <c r="E2" s="11"/>
      <c r="F2" s="66"/>
    </row>
    <row r="3" spans="1:9" x14ac:dyDescent="0.2">
      <c r="A3" s="10" t="s">
        <v>12</v>
      </c>
      <c r="B3" s="75" t="s">
        <v>120</v>
      </c>
      <c r="E3" s="13"/>
    </row>
    <row r="4" spans="1:9" x14ac:dyDescent="0.2">
      <c r="A4" s="10"/>
      <c r="B4" s="76"/>
      <c r="E4" s="11"/>
    </row>
    <row r="5" spans="1:9" x14ac:dyDescent="0.2">
      <c r="A5" s="10"/>
      <c r="B5" s="77"/>
      <c r="E5" s="12"/>
    </row>
    <row r="6" spans="1:9" x14ac:dyDescent="0.2">
      <c r="A6" s="10" t="s">
        <v>13</v>
      </c>
      <c r="B6" s="14">
        <v>8.5</v>
      </c>
    </row>
    <row r="7" spans="1:9" x14ac:dyDescent="0.2">
      <c r="A7" s="10" t="s">
        <v>14</v>
      </c>
      <c r="B7" s="14">
        <v>11</v>
      </c>
      <c r="C7" t="b">
        <f>AND(ISBLANK(C11), OR(ISNUMBER(D11), NOT(ISBLANK(E11))))</f>
        <v>0</v>
      </c>
      <c r="D7" t="b">
        <f>AND(NOT(ISNUMBER(D11)), OR(NOT(ISBLANK(C11)), NOT(ISBLANK(E11))))</f>
        <v>0</v>
      </c>
      <c r="E7" t="b">
        <f>AND(ISBLANK(E11),OR(NOT(ISBLANK(C11)),ISNUMBER(D11)))</f>
        <v>0</v>
      </c>
    </row>
    <row r="8" spans="1:9" x14ac:dyDescent="0.2">
      <c r="A8" s="10" t="s">
        <v>15</v>
      </c>
      <c r="B8" s="14">
        <v>120</v>
      </c>
      <c r="C8" t="b">
        <f>AND(ISBLANK(C16), NOT(ISBLANK(D16)))</f>
        <v>0</v>
      </c>
      <c r="D8" t="b">
        <f>AND(NOT(ISBLANK(C16)),NOT(ISNUMBER(D16)))</f>
        <v>0</v>
      </c>
    </row>
    <row r="9" spans="1:9" x14ac:dyDescent="0.2">
      <c r="D9" t="b">
        <f>AND(NOT(ISNUMBER(D13)), NOT(ISBLANK(E13)))</f>
        <v>0</v>
      </c>
      <c r="E9" t="b">
        <f>AND(ISBLANK(E13), ISNUMBER(D13))</f>
        <v>0</v>
      </c>
    </row>
    <row r="10" spans="1:9" s="9" customFormat="1" ht="30" customHeight="1" x14ac:dyDescent="0.2">
      <c r="A10" s="16"/>
      <c r="B10" s="17" t="s">
        <v>25</v>
      </c>
      <c r="C10" s="18" t="s">
        <v>26</v>
      </c>
      <c r="D10" s="18" t="s">
        <v>27</v>
      </c>
      <c r="E10" s="18" t="s">
        <v>28</v>
      </c>
      <c r="F10" s="19" t="s">
        <v>29</v>
      </c>
      <c r="G10" s="19" t="s">
        <v>30</v>
      </c>
      <c r="H10" s="20" t="s">
        <v>31</v>
      </c>
      <c r="I10" s="20" t="s">
        <v>32</v>
      </c>
    </row>
    <row r="11" spans="1:9" x14ac:dyDescent="0.2">
      <c r="A11" s="21" t="s">
        <v>33</v>
      </c>
      <c r="B11" s="22" t="s">
        <v>34</v>
      </c>
      <c r="C11" s="61" t="s">
        <v>82</v>
      </c>
      <c r="D11" s="72">
        <v>2</v>
      </c>
      <c r="E11" s="73" t="s">
        <v>64</v>
      </c>
      <c r="F11" s="62">
        <f>IFERROR(VLOOKUP(C11, Table_array_Cover_Design, MATCH(E11, Lookup_array_Cover_Design, 0), FALSE), "")</f>
        <v>19</v>
      </c>
      <c r="G11" s="23">
        <f>IFERROR(D11*F11, "")</f>
        <v>38</v>
      </c>
      <c r="H11" s="64">
        <f>IFERROR(VLOOKUP(C11,Table_array_Cover_Design,6,FALSE), "")</f>
        <v>85</v>
      </c>
      <c r="I11" s="24">
        <f>IFERROR(G11*H11, 0)</f>
        <v>3230</v>
      </c>
    </row>
    <row r="12" spans="1:9" x14ac:dyDescent="0.2">
      <c r="A12" s="21"/>
      <c r="B12" s="22" t="s">
        <v>37</v>
      </c>
      <c r="C12" s="25" t="str">
        <f>IF(ISBLANK(C$11), "", C$11)</f>
        <v>Textbook (PB)</v>
      </c>
      <c r="D12" s="72">
        <v>1</v>
      </c>
      <c r="E12" s="6"/>
      <c r="F12" s="63">
        <f>VLOOKUP(C12, Table_array_Cover_Design, 5, FALSE)</f>
        <v>0.15</v>
      </c>
      <c r="G12" s="26"/>
      <c r="H12" s="26"/>
      <c r="I12" s="27">
        <f>D12*I11*F12</f>
        <v>484.5</v>
      </c>
    </row>
    <row r="13" spans="1:9" x14ac:dyDescent="0.2">
      <c r="A13" s="21"/>
      <c r="B13" s="22" t="s">
        <v>38</v>
      </c>
      <c r="C13" s="25" t="str">
        <f>IF(ISBLANK(C$11), "", C$11)</f>
        <v>Textbook (PB)</v>
      </c>
      <c r="D13" s="72">
        <v>3</v>
      </c>
      <c r="E13" s="73" t="s">
        <v>39</v>
      </c>
      <c r="F13" s="62">
        <f>IFERROR(VLOOKUP(C13, Table_array_Cover_Design, MATCH(E13, Lookup_array_Cover_Design, 0), FALSE), "")</f>
        <v>5.9</v>
      </c>
      <c r="G13" s="23">
        <f>IFERROR(D13*F13, "")</f>
        <v>17.700000000000003</v>
      </c>
      <c r="H13" s="64">
        <f>IFERROR(VLOOKUP(C13,Table_array_Cover_Design,10,FALSE), "")</f>
        <v>85</v>
      </c>
      <c r="I13" s="24">
        <f>IFERROR(G13*H13, 0)</f>
        <v>1504.5000000000002</v>
      </c>
    </row>
    <row r="14" spans="1:9" x14ac:dyDescent="0.2">
      <c r="A14" s="21"/>
      <c r="B14" s="22" t="s">
        <v>40</v>
      </c>
      <c r="C14" s="25" t="str">
        <f>IF(ISBLANK(C$11), "", C$11)</f>
        <v>Textbook (PB)</v>
      </c>
      <c r="D14" s="72">
        <v>2</v>
      </c>
      <c r="E14" s="73" t="s">
        <v>72</v>
      </c>
      <c r="F14" s="62">
        <f>IFERROR(VLOOKUP(C14, Table_array_Cover_Design, MATCH(E14, Lookup_array_Cover_Design, 0), FALSE), "")</f>
        <v>4.2</v>
      </c>
      <c r="G14" s="23">
        <f>IFERROR(D14*F14, "")</f>
        <v>8.4</v>
      </c>
      <c r="H14" s="64">
        <f>IFERROR(VLOOKUP(C14,Table_array_Cover_Design,14,FALSE), "")</f>
        <v>95</v>
      </c>
      <c r="I14" s="24">
        <f>IFERROR(G14*H14, 0)</f>
        <v>798</v>
      </c>
    </row>
    <row r="15" spans="1:9" x14ac:dyDescent="0.2">
      <c r="A15" s="21"/>
      <c r="B15" s="22" t="s">
        <v>42</v>
      </c>
      <c r="C15" s="25" t="str">
        <f>IF(ISBLANK(C$11), "", C$11)</f>
        <v>Textbook (PB)</v>
      </c>
      <c r="D15" s="72" t="s">
        <v>114</v>
      </c>
      <c r="E15" s="73" t="s">
        <v>41</v>
      </c>
      <c r="F15" s="62">
        <f>IFERROR(VLOOKUP(C15, Table_array_Cover_Design, MATCH(E15, Lookup_array_Cover_Design, 0), FALSE), "")</f>
        <v>10</v>
      </c>
      <c r="G15" s="23" t="str">
        <f>IFERROR(D15*F15, "")</f>
        <v/>
      </c>
      <c r="H15" s="64">
        <f>IFERROR(VLOOKUP(C15,Table_array_Cover_Design,14,FALSE), "")</f>
        <v>95</v>
      </c>
      <c r="I15" s="24">
        <f>IFERROR(G15*H15, 0)</f>
        <v>0</v>
      </c>
    </row>
    <row r="16" spans="1:9" x14ac:dyDescent="0.2">
      <c r="A16" s="21"/>
      <c r="B16" s="22" t="s">
        <v>43</v>
      </c>
      <c r="C16" s="61" t="s">
        <v>88</v>
      </c>
      <c r="D16" s="72">
        <v>1</v>
      </c>
      <c r="E16" s="65"/>
      <c r="F16" s="70">
        <f>IFERROR(VLOOKUP(C16, Table_Array_IRP, 2,FALSE), "")</f>
        <v>0.75</v>
      </c>
      <c r="G16" s="71">
        <f>IFERROR(D16*F16, "")</f>
        <v>0.75</v>
      </c>
      <c r="H16" s="26"/>
      <c r="I16" s="27">
        <f>SUM(I11:I15)*F16</f>
        <v>4512.75</v>
      </c>
    </row>
    <row r="17" spans="1:9" x14ac:dyDescent="0.2">
      <c r="A17" s="21"/>
      <c r="B17" s="22" t="s">
        <v>44</v>
      </c>
      <c r="C17" s="61" t="s">
        <v>115</v>
      </c>
      <c r="D17" s="72"/>
      <c r="E17" s="65"/>
      <c r="F17" s="26"/>
      <c r="G17" s="23">
        <f>D17</f>
        <v>0</v>
      </c>
      <c r="H17" s="64">
        <f>IFERROR(VLOOKUP(C17,Table_array_Freelance_rates,2,FALSE), "")</f>
        <v>75</v>
      </c>
      <c r="I17" s="24">
        <f>IFERROR(G17*H17, 0)</f>
        <v>0</v>
      </c>
    </row>
    <row r="18" spans="1:9" x14ac:dyDescent="0.2">
      <c r="A18" s="21"/>
      <c r="B18" s="22" t="s">
        <v>45</v>
      </c>
      <c r="C18" s="61"/>
      <c r="D18" s="72"/>
      <c r="E18" s="65"/>
      <c r="F18" s="28"/>
      <c r="G18" s="23">
        <f t="shared" ref="G18:G20" si="0">D18</f>
        <v>0</v>
      </c>
      <c r="H18" s="64"/>
      <c r="I18" s="24">
        <f t="shared" ref="I18:I19" si="1">IFERROR(G18*H18, 0)</f>
        <v>0</v>
      </c>
    </row>
    <row r="19" spans="1:9" x14ac:dyDescent="0.2">
      <c r="A19" s="21"/>
      <c r="B19" s="22" t="s">
        <v>45</v>
      </c>
      <c r="C19" s="61"/>
      <c r="D19" s="72"/>
      <c r="E19" s="65"/>
      <c r="F19" s="28"/>
      <c r="G19" s="23">
        <f t="shared" si="0"/>
        <v>0</v>
      </c>
      <c r="H19" s="64" t="str">
        <f>IFERROR(VLOOKUP(C19,Table_array_Freelance_rates,2,FALSE), "")</f>
        <v/>
      </c>
      <c r="I19" s="24">
        <f t="shared" si="1"/>
        <v>0</v>
      </c>
    </row>
    <row r="20" spans="1:9" x14ac:dyDescent="0.2">
      <c r="A20" s="21"/>
      <c r="B20" s="22" t="s">
        <v>46</v>
      </c>
      <c r="C20" s="61" t="s">
        <v>117</v>
      </c>
      <c r="D20" s="72">
        <v>2</v>
      </c>
      <c r="E20" s="73"/>
      <c r="F20" s="28"/>
      <c r="G20" s="23">
        <f t="shared" si="0"/>
        <v>2</v>
      </c>
      <c r="H20" s="64" t="str">
        <f>IFERROR(VLOOKUP(C20,Table_array_Production_rate, MATCH(E20, Lookup_array_Production_rate, 0),FALSE), "")</f>
        <v/>
      </c>
      <c r="I20" s="24">
        <f>IFERROR(G20*H20, 0)</f>
        <v>0</v>
      </c>
    </row>
    <row r="21" spans="1:9" x14ac:dyDescent="0.2">
      <c r="A21" s="21"/>
      <c r="B21" s="22" t="s">
        <v>47</v>
      </c>
      <c r="C21" s="61" t="s">
        <v>119</v>
      </c>
      <c r="D21" s="72">
        <v>3</v>
      </c>
      <c r="E21" s="73" t="s">
        <v>118</v>
      </c>
      <c r="F21" s="28"/>
      <c r="G21" s="23">
        <f t="shared" ref="G21" si="2">D21</f>
        <v>3</v>
      </c>
      <c r="H21" s="64">
        <f>IFERROR(VLOOKUP(C21,Table_array_Production_rate, MATCH(E21, Lookup_array_Production_rate, 0),FALSE), "")</f>
        <v>131.25</v>
      </c>
      <c r="I21" s="24">
        <f>IFERROR(G21*H21, 0)</f>
        <v>393.75</v>
      </c>
    </row>
    <row r="22" spans="1:9" x14ac:dyDescent="0.2">
      <c r="A22" s="21"/>
      <c r="B22" s="22" t="s">
        <v>47</v>
      </c>
      <c r="C22" s="61"/>
      <c r="D22" s="72"/>
      <c r="E22" s="73"/>
      <c r="F22" s="29"/>
      <c r="G22" s="23">
        <f t="shared" ref="G22" si="3">D22</f>
        <v>0</v>
      </c>
      <c r="H22" s="64" t="str">
        <f>IFERROR(VLOOKUP(C22,Table_array_Production_rate, MATCH(E22, Lookup_array_Production_rate, 0),FALSE), "")</f>
        <v/>
      </c>
      <c r="I22" s="24">
        <f>IFERROR(G22*H22, 0)</f>
        <v>0</v>
      </c>
    </row>
    <row r="23" spans="1:9" x14ac:dyDescent="0.2">
      <c r="A23" s="21"/>
      <c r="B23" s="22"/>
      <c r="C23" s="22"/>
      <c r="D23" s="15"/>
      <c r="E23" s="30"/>
      <c r="F23" s="31" t="s">
        <v>48</v>
      </c>
      <c r="G23" s="31"/>
      <c r="H23" s="32"/>
      <c r="I23" s="33">
        <f>IFERROR(SUM(I11:I22), "Check totals")</f>
        <v>10923.5</v>
      </c>
    </row>
    <row r="24" spans="1:9" x14ac:dyDescent="0.2">
      <c r="A24" s="21"/>
      <c r="B24" s="22"/>
      <c r="C24" s="22"/>
      <c r="D24" s="34"/>
      <c r="E24" s="35"/>
      <c r="F24" s="36"/>
      <c r="G24" s="36"/>
      <c r="H24" s="37"/>
      <c r="I24" s="38"/>
    </row>
    <row r="25" spans="1:9" x14ac:dyDescent="0.2">
      <c r="A25" s="21" t="s">
        <v>49</v>
      </c>
      <c r="B25" s="22" t="s">
        <v>50</v>
      </c>
      <c r="C25" s="61" t="s">
        <v>106</v>
      </c>
      <c r="D25" s="72">
        <v>3</v>
      </c>
      <c r="E25" s="73" t="s">
        <v>91</v>
      </c>
      <c r="F25" s="62">
        <f t="shared" ref="F25:F30" si="4">IFERROR(VLOOKUP(C25, Table_array_Interior_design, MATCH(E25, Lookup_array_Interior_design, 0), FALSE), "")</f>
        <v>7</v>
      </c>
      <c r="G25" s="71">
        <f>IFERROR(D25*F25, "")</f>
        <v>21</v>
      </c>
      <c r="H25" s="64">
        <f>IFERROR(VLOOKUP(C25, Table_array_Interior_design, 5, FALSE), "")</f>
        <v>100</v>
      </c>
      <c r="I25" s="24">
        <f>IFERROR(G25*H25, 0)</f>
        <v>2100</v>
      </c>
    </row>
    <row r="26" spans="1:9" x14ac:dyDescent="0.2">
      <c r="A26" s="39"/>
      <c r="B26" s="22" t="s">
        <v>53</v>
      </c>
      <c r="C26" s="25" t="str">
        <f>IF(ISBLANK(C$25), "", C$25)</f>
        <v>Minor trade</v>
      </c>
      <c r="D26" s="72"/>
      <c r="E26" s="73"/>
      <c r="F26" s="62" t="str">
        <f t="shared" si="4"/>
        <v/>
      </c>
      <c r="G26" s="71" t="str">
        <f t="shared" ref="G26:G29" si="5">IFERROR(D26*F26, "")</f>
        <v/>
      </c>
      <c r="H26" s="64">
        <f>IFERROR(VLOOKUP(C26, Table_array_Interior_design, 18, FALSE), "")</f>
        <v>85</v>
      </c>
      <c r="I26" s="24">
        <f t="shared" ref="I26:I29" si="6">IFERROR(G26*H26, 0)</f>
        <v>0</v>
      </c>
    </row>
    <row r="27" spans="1:9" x14ac:dyDescent="0.2">
      <c r="A27" s="39"/>
      <c r="B27" s="22" t="s">
        <v>55</v>
      </c>
      <c r="C27" s="25" t="str">
        <f t="shared" ref="C27:C30" si="7">IF(ISBLANK(C$25), "", C$25)</f>
        <v>Minor trade</v>
      </c>
      <c r="D27" s="72"/>
      <c r="E27" s="73"/>
      <c r="F27" s="62" t="str">
        <f t="shared" si="4"/>
        <v/>
      </c>
      <c r="G27" s="71" t="str">
        <f t="shared" si="5"/>
        <v/>
      </c>
      <c r="H27" s="64">
        <f>IFERROR(VLOOKUP(C27, Table_array_Interior_design, 18, FALSE), "")</f>
        <v>85</v>
      </c>
      <c r="I27" s="24">
        <f t="shared" si="6"/>
        <v>0</v>
      </c>
    </row>
    <row r="28" spans="1:9" x14ac:dyDescent="0.2">
      <c r="A28" s="39"/>
      <c r="B28" s="22" t="s">
        <v>55</v>
      </c>
      <c r="C28" s="25" t="str">
        <f t="shared" si="7"/>
        <v>Minor trade</v>
      </c>
      <c r="D28" s="72"/>
      <c r="E28" s="73"/>
      <c r="F28" s="62" t="str">
        <f t="shared" si="4"/>
        <v/>
      </c>
      <c r="G28" s="71" t="str">
        <f t="shared" si="5"/>
        <v/>
      </c>
      <c r="H28" s="64">
        <f>IFERROR(VLOOKUP(C28, Table_array_Interior_design, 18, FALSE), "")</f>
        <v>85</v>
      </c>
      <c r="I28" s="24">
        <f t="shared" si="6"/>
        <v>0</v>
      </c>
    </row>
    <row r="29" spans="1:9" x14ac:dyDescent="0.2">
      <c r="A29" s="39"/>
      <c r="B29" s="22" t="s">
        <v>55</v>
      </c>
      <c r="C29" s="25" t="str">
        <f t="shared" si="7"/>
        <v>Minor trade</v>
      </c>
      <c r="D29" s="72"/>
      <c r="E29" s="73"/>
      <c r="F29" s="62" t="str">
        <f t="shared" si="4"/>
        <v/>
      </c>
      <c r="G29" s="71" t="str">
        <f t="shared" si="5"/>
        <v/>
      </c>
      <c r="H29" s="64">
        <f>IFERROR(VLOOKUP(C29, Table_array_Interior_design, 18, FALSE), "")</f>
        <v>85</v>
      </c>
      <c r="I29" s="24">
        <f t="shared" si="6"/>
        <v>0</v>
      </c>
    </row>
    <row r="30" spans="1:9" x14ac:dyDescent="0.2">
      <c r="A30" s="39"/>
      <c r="B30" s="22" t="s">
        <v>56</v>
      </c>
      <c r="C30" s="25" t="str">
        <f t="shared" si="7"/>
        <v>Minor trade</v>
      </c>
      <c r="D30" s="72"/>
      <c r="E30" s="73"/>
      <c r="F30" s="62" t="str">
        <f t="shared" si="4"/>
        <v/>
      </c>
      <c r="G30" s="71" t="str">
        <f t="shared" ref="G30" si="8">IFERROR(D30*F30, "")</f>
        <v/>
      </c>
      <c r="H30" s="64">
        <f>IFERROR(VLOOKUP(C30, Table_array_Interior_design, 22, FALSE), "")</f>
        <v>65</v>
      </c>
      <c r="I30" s="24">
        <f t="shared" ref="I30" si="9">IFERROR(G30*H30, 0)</f>
        <v>0</v>
      </c>
    </row>
    <row r="31" spans="1:9" x14ac:dyDescent="0.2">
      <c r="A31" s="39"/>
      <c r="B31" s="22" t="s">
        <v>58</v>
      </c>
      <c r="C31" s="74"/>
      <c r="D31" s="72"/>
      <c r="E31" s="73" t="s">
        <v>111</v>
      </c>
      <c r="F31" s="62">
        <f>IFERROR(HLOOKUP(E31,Table_array_Interior_additionals, 2, FALSE), "")</f>
        <v>0.6</v>
      </c>
      <c r="G31" s="23"/>
      <c r="H31" s="64">
        <f>IFERROR(VLOOKUP(B31, Table_array_Interior_additionals, 5, FALSE), "")</f>
        <v>95</v>
      </c>
      <c r="I31" s="24"/>
    </row>
    <row r="32" spans="1:9" x14ac:dyDescent="0.2">
      <c r="A32" s="39"/>
      <c r="B32" s="22" t="s">
        <v>59</v>
      </c>
      <c r="C32" s="74"/>
      <c r="D32" s="72"/>
      <c r="E32" s="73" t="s">
        <v>112</v>
      </c>
      <c r="F32" s="62">
        <f>IFERROR(HLOOKUP(E32,Table_array_Interior_additionals, 3, FALSE), "")</f>
        <v>7.9</v>
      </c>
      <c r="G32" s="23"/>
      <c r="H32" s="64">
        <f>IFERROR(VLOOKUP(B32, Table_array_Interior_additionals, 5, FALSE), "")</f>
        <v>95</v>
      </c>
      <c r="I32" s="24"/>
    </row>
    <row r="33" spans="1:9" x14ac:dyDescent="0.2">
      <c r="A33" s="39"/>
      <c r="B33" s="22" t="s">
        <v>44</v>
      </c>
      <c r="C33" s="61"/>
      <c r="D33" s="72">
        <v>3</v>
      </c>
      <c r="E33" s="65"/>
      <c r="F33" s="40"/>
      <c r="G33" s="23">
        <f>D33</f>
        <v>3</v>
      </c>
      <c r="H33" s="64" t="str">
        <f>IFERROR(VLOOKUP(C33,Table_array_Freelance_rates,2,FALSE), "")</f>
        <v/>
      </c>
      <c r="I33" s="24">
        <f>IFERROR(G33*H33, 0)</f>
        <v>0</v>
      </c>
    </row>
    <row r="34" spans="1:9" x14ac:dyDescent="0.2">
      <c r="A34" s="39"/>
      <c r="B34" s="22" t="s">
        <v>45</v>
      </c>
      <c r="C34" s="61"/>
      <c r="D34" s="72"/>
      <c r="E34" s="65"/>
      <c r="F34" s="40"/>
      <c r="G34" s="23">
        <f t="shared" ref="G34:G38" si="10">D34</f>
        <v>0</v>
      </c>
      <c r="H34" s="64" t="str">
        <f>IFERROR(VLOOKUP(C34,Table_array_Freelance_rates,2,FALSE), "")</f>
        <v/>
      </c>
      <c r="I34" s="24">
        <f t="shared" ref="I34:I37" si="11">IFERROR(G34*H34, 0)</f>
        <v>0</v>
      </c>
    </row>
    <row r="35" spans="1:9" x14ac:dyDescent="0.2">
      <c r="A35" s="39"/>
      <c r="B35" s="22" t="s">
        <v>45</v>
      </c>
      <c r="C35" s="61" t="s">
        <v>115</v>
      </c>
      <c r="D35" s="72"/>
      <c r="E35" s="65"/>
      <c r="F35" s="40"/>
      <c r="G35" s="23">
        <f t="shared" si="10"/>
        <v>0</v>
      </c>
      <c r="H35" s="64">
        <f>IFERROR(VLOOKUP(C35,Table_array_Freelance_rates,2,FALSE), "")</f>
        <v>75</v>
      </c>
      <c r="I35" s="24">
        <f t="shared" si="11"/>
        <v>0</v>
      </c>
    </row>
    <row r="36" spans="1:9" x14ac:dyDescent="0.2">
      <c r="A36" s="39"/>
      <c r="B36" s="22" t="s">
        <v>45</v>
      </c>
      <c r="C36" s="61"/>
      <c r="D36" s="72"/>
      <c r="E36" s="65"/>
      <c r="F36" s="40"/>
      <c r="G36" s="23">
        <f t="shared" si="10"/>
        <v>0</v>
      </c>
      <c r="H36" s="64" t="str">
        <f>IFERROR(VLOOKUP(C36,Table_array_Freelance_rates,2,FALSE), "")</f>
        <v/>
      </c>
      <c r="I36" s="24">
        <f t="shared" si="11"/>
        <v>0</v>
      </c>
    </row>
    <row r="37" spans="1:9" x14ac:dyDescent="0.2">
      <c r="A37" s="39"/>
      <c r="B37" s="22" t="s">
        <v>45</v>
      </c>
      <c r="C37" s="61"/>
      <c r="D37" s="72"/>
      <c r="E37" s="65"/>
      <c r="F37" s="40"/>
      <c r="G37" s="23">
        <f t="shared" si="10"/>
        <v>0</v>
      </c>
      <c r="H37" s="64" t="str">
        <f>IFERROR(VLOOKUP(C37,Table_array_Freelance_rates,2,FALSE), "")</f>
        <v/>
      </c>
      <c r="I37" s="24">
        <f t="shared" si="11"/>
        <v>0</v>
      </c>
    </row>
    <row r="38" spans="1:9" x14ac:dyDescent="0.2">
      <c r="A38" s="39"/>
      <c r="B38" s="22" t="s">
        <v>46</v>
      </c>
      <c r="C38" s="61" t="s">
        <v>117</v>
      </c>
      <c r="D38" s="72">
        <v>3</v>
      </c>
      <c r="E38" s="73" t="s">
        <v>118</v>
      </c>
      <c r="F38" s="40"/>
      <c r="G38" s="23">
        <f t="shared" si="10"/>
        <v>3</v>
      </c>
      <c r="H38" s="64">
        <f>IFERROR(VLOOKUP(C38,Table_array_Production_rate, MATCH(E38, Lookup_array_Production_rate, 0),FALSE), "")</f>
        <v>196.875</v>
      </c>
      <c r="I38" s="24">
        <f>IFERROR(G38*H38, 0)</f>
        <v>590.625</v>
      </c>
    </row>
    <row r="39" spans="1:9" x14ac:dyDescent="0.2">
      <c r="A39" s="39"/>
      <c r="B39" s="22" t="s">
        <v>47</v>
      </c>
      <c r="C39" s="61"/>
      <c r="D39" s="72"/>
      <c r="E39" s="73"/>
      <c r="F39" s="40"/>
      <c r="G39" s="23">
        <f t="shared" ref="G39:G40" si="12">D39</f>
        <v>0</v>
      </c>
      <c r="H39" s="64" t="str">
        <f>IFERROR(VLOOKUP(C39,Table_array_Production_rate, MATCH(E39, Lookup_array_Production_rate, 0),FALSE), "")</f>
        <v/>
      </c>
      <c r="I39" s="24">
        <f t="shared" ref="I39:I40" si="13">IFERROR(G39*H39, 0)</f>
        <v>0</v>
      </c>
    </row>
    <row r="40" spans="1:9" x14ac:dyDescent="0.2">
      <c r="A40" s="39"/>
      <c r="B40" s="22" t="s">
        <v>47</v>
      </c>
      <c r="C40" s="61"/>
      <c r="D40" s="72"/>
      <c r="E40" s="73"/>
      <c r="F40" s="40"/>
      <c r="G40" s="23">
        <f t="shared" si="12"/>
        <v>0</v>
      </c>
      <c r="H40" s="64" t="str">
        <f>IFERROR(VLOOKUP(C40,Table_array_Production_rate, MATCH(E40, Lookup_array_Production_rate, 0),FALSE), "")</f>
        <v/>
      </c>
      <c r="I40" s="24">
        <f t="shared" si="13"/>
        <v>0</v>
      </c>
    </row>
    <row r="41" spans="1:9" x14ac:dyDescent="0.2">
      <c r="A41" s="39"/>
      <c r="B41" s="39"/>
      <c r="C41" s="41"/>
      <c r="D41" s="41"/>
      <c r="E41" s="30"/>
      <c r="F41" s="42" t="s">
        <v>60</v>
      </c>
      <c r="G41" s="42"/>
      <c r="H41" s="43"/>
      <c r="I41" s="33">
        <f>IFERROR(SUM(I25:I40), "Check totals")</f>
        <v>2690.625</v>
      </c>
    </row>
    <row r="42" spans="1:9" x14ac:dyDescent="0.2">
      <c r="A42" s="39"/>
      <c r="B42" s="39"/>
      <c r="C42" s="22"/>
      <c r="D42" s="15"/>
      <c r="E42" s="44"/>
      <c r="F42" s="42"/>
      <c r="G42" s="42"/>
      <c r="H42" s="43"/>
      <c r="I42" s="38"/>
    </row>
    <row r="43" spans="1:9" x14ac:dyDescent="0.2">
      <c r="A43" s="39"/>
      <c r="B43" s="39"/>
      <c r="C43" s="39"/>
      <c r="D43" s="39"/>
      <c r="E43" s="26"/>
      <c r="F43" s="42" t="s">
        <v>61</v>
      </c>
      <c r="G43" s="45">
        <f>IFERROR(SUM(G11:G40), "Check totals")</f>
        <v>96.850000000000009</v>
      </c>
      <c r="H43" s="43" t="s">
        <v>62</v>
      </c>
      <c r="I43" s="33">
        <f>IFERROR(I23+I41, "Check totals")</f>
        <v>13614.125</v>
      </c>
    </row>
    <row r="44" spans="1:9" x14ac:dyDescent="0.2">
      <c r="F44" s="4"/>
      <c r="G44" s="4"/>
    </row>
    <row r="45" spans="1:9" x14ac:dyDescent="0.2">
      <c r="F45" s="4"/>
      <c r="G45" s="4"/>
    </row>
    <row r="46" spans="1:9" x14ac:dyDescent="0.2">
      <c r="F46" s="4"/>
      <c r="G46" s="4"/>
    </row>
    <row r="47" spans="1:9" x14ac:dyDescent="0.2">
      <c r="F47" s="4"/>
      <c r="G47" s="4"/>
    </row>
    <row r="48" spans="1:9" x14ac:dyDescent="0.2">
      <c r="F48" s="4"/>
      <c r="G48" s="4"/>
    </row>
    <row r="49" spans="6:7" x14ac:dyDescent="0.2">
      <c r="F49" s="4"/>
      <c r="G49" s="4"/>
    </row>
    <row r="50" spans="6:7" x14ac:dyDescent="0.2">
      <c r="F50" s="4"/>
      <c r="G50" s="4"/>
    </row>
    <row r="51" spans="6:7" x14ac:dyDescent="0.2">
      <c r="F51" s="4"/>
      <c r="G51" s="4"/>
    </row>
    <row r="52" spans="6:7" x14ac:dyDescent="0.2">
      <c r="F52" s="4"/>
      <c r="G52" s="4"/>
    </row>
    <row r="53" spans="6:7" x14ac:dyDescent="0.2">
      <c r="F53" s="4"/>
      <c r="G53" s="4"/>
    </row>
    <row r="54" spans="6:7" x14ac:dyDescent="0.2">
      <c r="F54" s="4"/>
      <c r="G54" s="4"/>
    </row>
    <row r="55" spans="6:7" x14ac:dyDescent="0.2">
      <c r="F55" s="4"/>
      <c r="G55" s="4"/>
    </row>
    <row r="56" spans="6:7" x14ac:dyDescent="0.2">
      <c r="F56" s="4"/>
      <c r="G56" s="4"/>
    </row>
    <row r="57" spans="6:7" x14ac:dyDescent="0.2">
      <c r="F57" s="4"/>
      <c r="G57" s="4"/>
    </row>
    <row r="58" spans="6:7" x14ac:dyDescent="0.2">
      <c r="F58" s="4"/>
      <c r="G58" s="4"/>
    </row>
    <row r="59" spans="6:7" x14ac:dyDescent="0.2">
      <c r="F59" s="4"/>
      <c r="G59" s="4"/>
    </row>
    <row r="60" spans="6:7" x14ac:dyDescent="0.2">
      <c r="F60" s="4"/>
      <c r="G60" s="4"/>
    </row>
    <row r="61" spans="6:7" x14ac:dyDescent="0.2">
      <c r="F61" s="4"/>
      <c r="G61" s="4"/>
    </row>
    <row r="62" spans="6:7" x14ac:dyDescent="0.2">
      <c r="F62" s="4"/>
      <c r="G62" s="4"/>
    </row>
    <row r="63" spans="6:7" x14ac:dyDescent="0.2">
      <c r="F63" s="4"/>
      <c r="G63" s="4"/>
    </row>
    <row r="64" spans="6:7" x14ac:dyDescent="0.2">
      <c r="F64" s="4"/>
      <c r="G64" s="4"/>
    </row>
    <row r="65" spans="6:7" x14ac:dyDescent="0.2">
      <c r="F65" s="4"/>
      <c r="G65" s="4"/>
    </row>
    <row r="66" spans="6:7" x14ac:dyDescent="0.2">
      <c r="F66" s="4"/>
      <c r="G66" s="4"/>
    </row>
  </sheetData>
  <mergeCells count="1">
    <mergeCell ref="B3:B5"/>
  </mergeCells>
  <phoneticPr fontId="5" type="noConversion"/>
  <conditionalFormatting sqref="C11">
    <cfRule type="expression" dxfId="22" priority="35">
      <formula>AND(ISBLANK(C11), OR(ISNUMBER(D11), NOT(ISBLANK(E11))))</formula>
    </cfRule>
  </conditionalFormatting>
  <conditionalFormatting sqref="E11">
    <cfRule type="expression" dxfId="21" priority="34">
      <formula>AND(ISBLANK(E11),OR(NOT(ISBLANK(C11)), ISNUMBER(D11)))</formula>
    </cfRule>
  </conditionalFormatting>
  <conditionalFormatting sqref="D11">
    <cfRule type="expression" dxfId="20" priority="33">
      <formula>AND(NOT(ISNUMBER(D11)), OR(NOT(ISBLANK(C11)), NOT(ISBLANK(E11))))</formula>
    </cfRule>
  </conditionalFormatting>
  <conditionalFormatting sqref="C20:C22">
    <cfRule type="expression" dxfId="19" priority="26">
      <formula>AND(ISBLANK(C20), OR(ISNUMBER(D20), NOT(ISBLANK(E20))))</formula>
    </cfRule>
  </conditionalFormatting>
  <conditionalFormatting sqref="E20:E22">
    <cfRule type="expression" dxfId="18" priority="25">
      <formula>AND(ISBLANK(E20),OR(NOT(ISBLANK(C20)), ISNUMBER(D20)))</formula>
    </cfRule>
  </conditionalFormatting>
  <conditionalFormatting sqref="D20:D22">
    <cfRule type="expression" dxfId="17" priority="24">
      <formula>AND(NOT(ISNUMBER(D20)), OR(NOT(ISBLANK(C20)), NOT(ISBLANK(E20))))</formula>
    </cfRule>
  </conditionalFormatting>
  <conditionalFormatting sqref="C16">
    <cfRule type="expression" dxfId="16" priority="23">
      <formula>AND(ISBLANK(C16), NOT(ISBLANK(D16)))</formula>
    </cfRule>
  </conditionalFormatting>
  <conditionalFormatting sqref="D16">
    <cfRule type="expression" dxfId="15" priority="22">
      <formula>AND(NOT(ISBLANK(C16)),NOT(ISNUMBER(D16)))</formula>
    </cfRule>
  </conditionalFormatting>
  <conditionalFormatting sqref="D13">
    <cfRule type="expression" dxfId="14" priority="21">
      <formula>AND(NOT(ISNUMBER(D13)), NOT(ISBLANK(E13)))</formula>
    </cfRule>
  </conditionalFormatting>
  <conditionalFormatting sqref="E13">
    <cfRule type="expression" dxfId="13" priority="20">
      <formula>AND(ISBLANK(E13), ISNUMBER(D13))</formula>
    </cfRule>
  </conditionalFormatting>
  <conditionalFormatting sqref="C17:C19">
    <cfRule type="expression" dxfId="12" priority="13">
      <formula>AND(ISBLANK(C17), NOT(ISBLANK(D17)))</formula>
    </cfRule>
  </conditionalFormatting>
  <conditionalFormatting sqref="D17:D19">
    <cfRule type="expression" dxfId="11" priority="12">
      <formula>AND(NOT(ISBLANK(C17)),NOT(ISNUMBER(D17)))</formula>
    </cfRule>
  </conditionalFormatting>
  <conditionalFormatting sqref="D14:D15">
    <cfRule type="expression" dxfId="10" priority="11">
      <formula>AND(NOT(ISNUMBER(D14)), NOT(ISBLANK(E14)))</formula>
    </cfRule>
  </conditionalFormatting>
  <conditionalFormatting sqref="E14:E15">
    <cfRule type="expression" dxfId="9" priority="10">
      <formula>AND(ISBLANK(E14), ISNUMBER(D14))</formula>
    </cfRule>
  </conditionalFormatting>
  <conditionalFormatting sqref="D26:D30">
    <cfRule type="expression" dxfId="8" priority="9">
      <formula>AND(NOT(ISNUMBER(D26)), NOT(ISBLANK(E26)))</formula>
    </cfRule>
  </conditionalFormatting>
  <conditionalFormatting sqref="E26:E30">
    <cfRule type="expression" dxfId="7" priority="8">
      <formula>AND(ISBLANK(E26), ISNUMBER(D26))</formula>
    </cfRule>
  </conditionalFormatting>
  <conditionalFormatting sqref="C38:C40">
    <cfRule type="expression" dxfId="6" priority="7">
      <formula>AND(ISBLANK(C38), OR(ISNUMBER(D38), NOT(ISBLANK(E38))))</formula>
    </cfRule>
  </conditionalFormatting>
  <conditionalFormatting sqref="E38:E40">
    <cfRule type="expression" dxfId="5" priority="6">
      <formula>AND(ISBLANK(E38),OR(NOT(ISBLANK(C38)), ISNUMBER(D38)))</formula>
    </cfRule>
  </conditionalFormatting>
  <conditionalFormatting sqref="D38:D40">
    <cfRule type="expression" dxfId="4" priority="5">
      <formula>AND(NOT(ISNUMBER(D38)), OR(NOT(ISBLANK(C38)), NOT(ISBLANK(E38))))</formula>
    </cfRule>
  </conditionalFormatting>
  <conditionalFormatting sqref="C33:C37">
    <cfRule type="expression" dxfId="3" priority="4">
      <formula>AND(ISBLANK(C33), NOT(ISBLANK(D33)))</formula>
    </cfRule>
  </conditionalFormatting>
  <conditionalFormatting sqref="D33:D37">
    <cfRule type="expression" dxfId="2" priority="3">
      <formula>AND(NOT(ISBLANK(C33)),NOT(ISNUMBER(D33)))</formula>
    </cfRule>
  </conditionalFormatting>
  <conditionalFormatting sqref="D31:D32">
    <cfRule type="expression" dxfId="1" priority="2">
      <formula>AND(NOT(ISNUMBER(D31)), NOT(ISBLANK(E31)))</formula>
    </cfRule>
  </conditionalFormatting>
  <conditionalFormatting sqref="E31:E32">
    <cfRule type="expression" dxfId="0" priority="1">
      <formula>AND(ISBLANK(E31), ISNUMBER(D31))</formula>
    </cfRule>
  </conditionalFormatting>
  <dataValidations count="12">
    <dataValidation type="list" allowBlank="1" showInputMessage="1" showErrorMessage="1" sqref="E11" xr:uid="{97D3EDA0-2959-45C0-84CE-FC629763F89A}">
      <formula1>Menu_Initial_Cover_Concept</formula1>
    </dataValidation>
    <dataValidation type="list" allowBlank="1" showInputMessage="1" showErrorMessage="1" sqref="C11" xr:uid="{2C7882E7-85DD-4C63-A63D-63F336EC66FD}">
      <formula1>Menu_Cover_Design</formula1>
    </dataValidation>
    <dataValidation type="list" allowBlank="1" showInputMessage="1" showErrorMessage="1" sqref="E13" xr:uid="{464AD6EC-CC4A-4391-A2D2-278748A74F7D}">
      <formula1>Menu_Additional_Cover_Concept</formula1>
    </dataValidation>
    <dataValidation type="list" allowBlank="1" showInputMessage="1" showErrorMessage="1" sqref="E14:E15" xr:uid="{FF2B0BD4-A61A-4008-A7FE-D1307D2222B7}">
      <formula1>Menu_Complex_Cover_Illustration</formula1>
    </dataValidation>
    <dataValidation type="list" allowBlank="1" showInputMessage="1" showErrorMessage="1" sqref="C16" xr:uid="{17383FE9-75D7-4219-8052-EB82B3B0A262}">
      <formula1>Menu_Intellectual_Property_Rights</formula1>
    </dataValidation>
    <dataValidation type="list" allowBlank="1" showInputMessage="1" showErrorMessage="1" sqref="C17:C19 C33:C37" xr:uid="{FE1AEEB6-E3A1-4536-947F-AACE8287D564}">
      <formula1>Menu_Freelance_Rates</formula1>
    </dataValidation>
    <dataValidation type="list" allowBlank="1" showInputMessage="1" showErrorMessage="1" sqref="C20:C22 C38:C40" xr:uid="{8D4D20CB-3CF9-4BB0-B874-D36E0CB53957}">
      <formula1>Menu_Production_Activity</formula1>
    </dataValidation>
    <dataValidation type="list" allowBlank="1" showInputMessage="1" showErrorMessage="1" sqref="E20:E22 E38:E40" xr:uid="{6C7886DF-8B1C-4A35-937F-B851FB264EED}">
      <formula1>Menu_Production_rate</formula1>
    </dataValidation>
    <dataValidation type="list" allowBlank="1" showInputMessage="1" showErrorMessage="1" sqref="C25" xr:uid="{AAE283F9-9C68-4B5F-AF3B-9CC47FAD2685}">
      <formula1>Menu_Interior_design_category</formula1>
    </dataValidation>
    <dataValidation type="list" allowBlank="1" showInputMessage="1" showErrorMessage="1" sqref="E25" xr:uid="{2AED6556-81FA-493E-B1E5-BC4FBC80E24E}">
      <formula1>Menu_Interior_design_complexity</formula1>
    </dataValidation>
    <dataValidation type="list" allowBlank="1" showInputMessage="1" showErrorMessage="1" sqref="E26:E30" xr:uid="{E43E903F-3302-4FC6-8FC0-408A3ACF3322}">
      <formula1>Menu_Interior_illustration_complexity</formula1>
    </dataValidation>
    <dataValidation type="list" allowBlank="1" showInputMessage="1" showErrorMessage="1" sqref="E31:E32" xr:uid="{33A91CD7-CF5E-4591-9104-C827AB7E4A6B}">
      <formula1>Menu_Sketch_complexity</formula1>
    </dataValidation>
  </dataValidations>
  <pageMargins left="0.75" right="0.75" top="1" bottom="1" header="0.5" footer="0.5"/>
  <pageSetup paperSize="297" scale="79" orientation="landscape" horizontalDpi="4294967292" verticalDpi="4294967292"/>
  <headerFooter>
    <oddHeader>&amp;CGrC 403 - Lab Final&amp;RNAME HERE</oddHeader>
  </headerFooter>
  <colBreaks count="1" manualBreakCount="1">
    <brk id="7" max="1048575" man="1"/>
  </colBreaks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zoomScale="101" workbookViewId="0">
      <selection activeCell="A15" sqref="A15:A19"/>
    </sheetView>
  </sheetViews>
  <sheetFormatPr defaultColWidth="11" defaultRowHeight="12.75" x14ac:dyDescent="0.2"/>
  <cols>
    <col min="1" max="1" width="33.625" customWidth="1"/>
    <col min="2" max="4" width="22.375" customWidth="1"/>
    <col min="5" max="5" width="26.5" customWidth="1"/>
    <col min="6" max="6" width="27.875" customWidth="1"/>
    <col min="7" max="7" width="31.5" bestFit="1" customWidth="1"/>
    <col min="8" max="8" width="31.125" bestFit="1" customWidth="1"/>
    <col min="9" max="9" width="29.5" bestFit="1" customWidth="1"/>
    <col min="10" max="10" width="22.375" customWidth="1"/>
    <col min="11" max="11" width="24.875" customWidth="1"/>
    <col min="12" max="12" width="24.125" bestFit="1" customWidth="1"/>
    <col min="13" max="13" width="22.625" bestFit="1" customWidth="1"/>
    <col min="14" max="14" width="15.5" bestFit="1" customWidth="1"/>
  </cols>
  <sheetData>
    <row r="1" spans="1:14" x14ac:dyDescent="0.2">
      <c r="A1" s="21" t="s">
        <v>63</v>
      </c>
      <c r="B1" s="46" t="s">
        <v>36</v>
      </c>
      <c r="C1" s="46" t="s">
        <v>64</v>
      </c>
      <c r="D1" s="46" t="s">
        <v>65</v>
      </c>
      <c r="E1" s="68" t="s">
        <v>66</v>
      </c>
      <c r="F1" s="47" t="s">
        <v>67</v>
      </c>
      <c r="G1" s="46" t="s">
        <v>39</v>
      </c>
      <c r="H1" s="46" t="s">
        <v>68</v>
      </c>
      <c r="I1" s="46" t="s">
        <v>69</v>
      </c>
      <c r="J1" s="47" t="s">
        <v>70</v>
      </c>
      <c r="K1" s="69" t="s">
        <v>71</v>
      </c>
      <c r="L1" s="69" t="s">
        <v>41</v>
      </c>
      <c r="M1" s="69" t="s">
        <v>72</v>
      </c>
      <c r="N1" s="48" t="s">
        <v>73</v>
      </c>
    </row>
    <row r="2" spans="1:14" x14ac:dyDescent="0.2">
      <c r="A2" s="39" t="s">
        <v>74</v>
      </c>
      <c r="B2" s="49">
        <v>26.3</v>
      </c>
      <c r="C2" s="49">
        <v>21.1</v>
      </c>
      <c r="D2" s="49">
        <v>15.8</v>
      </c>
      <c r="E2" s="67">
        <v>1.75</v>
      </c>
      <c r="F2" s="50">
        <v>95</v>
      </c>
      <c r="G2" s="49">
        <v>7.9</v>
      </c>
      <c r="H2" s="49">
        <v>5.5</v>
      </c>
      <c r="I2" s="49">
        <v>3.2</v>
      </c>
      <c r="J2" s="50">
        <v>95</v>
      </c>
      <c r="K2" s="49">
        <v>5.8</v>
      </c>
      <c r="L2" s="49">
        <v>3.8</v>
      </c>
      <c r="M2" s="49">
        <v>2</v>
      </c>
      <c r="N2" s="50">
        <v>105</v>
      </c>
    </row>
    <row r="3" spans="1:14" x14ac:dyDescent="0.2">
      <c r="A3" s="39" t="s">
        <v>75</v>
      </c>
      <c r="B3" s="49">
        <v>21.1</v>
      </c>
      <c r="C3" s="49">
        <v>18.399999999999999</v>
      </c>
      <c r="D3" s="49">
        <v>15.8</v>
      </c>
      <c r="E3" s="67">
        <v>1.2</v>
      </c>
      <c r="F3" s="50">
        <v>95</v>
      </c>
      <c r="G3" s="49">
        <v>10.5</v>
      </c>
      <c r="H3" s="49">
        <v>9.1999999999999993</v>
      </c>
      <c r="I3" s="49">
        <v>7.9</v>
      </c>
      <c r="J3" s="50">
        <v>95</v>
      </c>
      <c r="K3" s="49">
        <v>9.6</v>
      </c>
      <c r="L3" s="49">
        <v>5.8</v>
      </c>
      <c r="M3" s="49">
        <v>2</v>
      </c>
      <c r="N3" s="50">
        <v>105</v>
      </c>
    </row>
    <row r="4" spans="1:14" x14ac:dyDescent="0.2">
      <c r="A4" s="39" t="s">
        <v>76</v>
      </c>
      <c r="B4" s="49">
        <v>26.3</v>
      </c>
      <c r="C4" s="49">
        <v>18.399999999999999</v>
      </c>
      <c r="D4" s="49">
        <v>10.5</v>
      </c>
      <c r="E4" s="67">
        <v>0.2</v>
      </c>
      <c r="F4" s="50">
        <v>95</v>
      </c>
      <c r="G4" s="49">
        <v>5.3</v>
      </c>
      <c r="H4" s="49">
        <v>3.8</v>
      </c>
      <c r="I4" s="49">
        <v>2.4</v>
      </c>
      <c r="J4" s="50">
        <v>95</v>
      </c>
      <c r="K4" s="49">
        <v>9.6</v>
      </c>
      <c r="L4" s="49">
        <v>5.8</v>
      </c>
      <c r="M4" s="49">
        <v>2</v>
      </c>
      <c r="N4" s="50">
        <v>105</v>
      </c>
    </row>
    <row r="5" spans="1:14" x14ac:dyDescent="0.2">
      <c r="A5" s="39" t="s">
        <v>77</v>
      </c>
      <c r="B5" s="49">
        <v>26.3</v>
      </c>
      <c r="C5" s="49">
        <v>18.399999999999999</v>
      </c>
      <c r="D5" s="49">
        <v>10.5</v>
      </c>
      <c r="E5" s="67">
        <v>0.15</v>
      </c>
      <c r="F5" s="50">
        <v>95</v>
      </c>
      <c r="G5" s="49">
        <v>5.3</v>
      </c>
      <c r="H5" s="49">
        <v>3.4</v>
      </c>
      <c r="I5" s="49">
        <v>1.6</v>
      </c>
      <c r="J5" s="50">
        <v>95</v>
      </c>
      <c r="K5" s="49">
        <v>14.2</v>
      </c>
      <c r="L5" s="49">
        <v>9</v>
      </c>
      <c r="M5" s="49">
        <v>3.8</v>
      </c>
      <c r="N5" s="50">
        <v>105</v>
      </c>
    </row>
    <row r="6" spans="1:14" x14ac:dyDescent="0.2">
      <c r="A6" s="39" t="s">
        <v>78</v>
      </c>
      <c r="B6" s="49">
        <v>26.3</v>
      </c>
      <c r="C6" s="49">
        <v>18.399999999999999</v>
      </c>
      <c r="D6" s="49">
        <v>10.5</v>
      </c>
      <c r="E6" s="67">
        <v>0.25</v>
      </c>
      <c r="F6" s="50">
        <v>95</v>
      </c>
      <c r="G6" s="49">
        <v>5.3</v>
      </c>
      <c r="H6" s="49">
        <v>3.4</v>
      </c>
      <c r="I6" s="49">
        <v>1.6</v>
      </c>
      <c r="J6" s="50">
        <v>95</v>
      </c>
      <c r="K6" s="49">
        <v>7.6</v>
      </c>
      <c r="L6" s="49">
        <v>4.8</v>
      </c>
      <c r="M6" s="49">
        <v>2</v>
      </c>
      <c r="N6" s="50">
        <v>105</v>
      </c>
    </row>
    <row r="7" spans="1:14" x14ac:dyDescent="0.2">
      <c r="A7" s="21" t="s">
        <v>79</v>
      </c>
      <c r="B7" s="51"/>
      <c r="C7" s="24"/>
      <c r="D7" s="51"/>
      <c r="E7" s="67"/>
      <c r="F7" s="50"/>
      <c r="G7" s="51"/>
      <c r="H7" s="24"/>
      <c r="I7" s="51"/>
      <c r="J7" s="50"/>
      <c r="K7" s="49"/>
      <c r="L7" s="49"/>
      <c r="M7" s="49"/>
      <c r="N7" s="50"/>
    </row>
    <row r="8" spans="1:14" x14ac:dyDescent="0.2">
      <c r="A8" s="39" t="s">
        <v>35</v>
      </c>
      <c r="B8" s="49">
        <v>32.9</v>
      </c>
      <c r="C8" s="49">
        <v>22.4</v>
      </c>
      <c r="D8" s="49">
        <v>11.8</v>
      </c>
      <c r="E8" s="67">
        <v>1.25</v>
      </c>
      <c r="F8" s="50">
        <v>85</v>
      </c>
      <c r="G8" s="49">
        <v>8.8000000000000007</v>
      </c>
      <c r="H8" s="49">
        <v>5.9</v>
      </c>
      <c r="I8" s="49">
        <v>2.9</v>
      </c>
      <c r="J8" s="50">
        <v>85</v>
      </c>
      <c r="K8" s="49">
        <v>6.4</v>
      </c>
      <c r="L8" s="49">
        <v>4.2</v>
      </c>
      <c r="M8" s="49">
        <v>2.2000000000000002</v>
      </c>
      <c r="N8" s="50">
        <v>95</v>
      </c>
    </row>
    <row r="9" spans="1:14" x14ac:dyDescent="0.2">
      <c r="A9" s="39" t="s">
        <v>80</v>
      </c>
      <c r="B9" s="49">
        <v>29.4</v>
      </c>
      <c r="C9" s="49">
        <v>21.8</v>
      </c>
      <c r="D9" s="49">
        <v>14.1</v>
      </c>
      <c r="E9" s="67">
        <v>1</v>
      </c>
      <c r="F9" s="50">
        <v>85</v>
      </c>
      <c r="G9" s="49">
        <v>8.8000000000000007</v>
      </c>
      <c r="H9" s="49">
        <v>6.2</v>
      </c>
      <c r="I9" s="49">
        <v>3.5</v>
      </c>
      <c r="J9" s="50">
        <v>85</v>
      </c>
      <c r="K9" s="49">
        <v>10.6</v>
      </c>
      <c r="L9" s="49">
        <v>6.4</v>
      </c>
      <c r="M9" s="49">
        <v>2.2000000000000002</v>
      </c>
      <c r="N9" s="50">
        <v>95</v>
      </c>
    </row>
    <row r="10" spans="1:14" x14ac:dyDescent="0.2">
      <c r="A10" s="39" t="s">
        <v>81</v>
      </c>
      <c r="B10" s="49">
        <v>29.4</v>
      </c>
      <c r="C10" s="49">
        <v>20.3</v>
      </c>
      <c r="D10" s="49">
        <v>11.2</v>
      </c>
      <c r="E10" s="67">
        <v>1</v>
      </c>
      <c r="F10" s="50">
        <v>85</v>
      </c>
      <c r="G10" s="49">
        <v>8.8000000000000007</v>
      </c>
      <c r="H10" s="49">
        <v>5.6</v>
      </c>
      <c r="I10" s="49">
        <v>2.4</v>
      </c>
      <c r="J10" s="50">
        <v>85</v>
      </c>
      <c r="K10" s="49">
        <v>10.6</v>
      </c>
      <c r="L10" s="49">
        <v>6.4</v>
      </c>
      <c r="M10" s="49">
        <v>2.2000000000000002</v>
      </c>
      <c r="N10" s="50">
        <v>95</v>
      </c>
    </row>
    <row r="11" spans="1:14" x14ac:dyDescent="0.2">
      <c r="A11" s="39" t="s">
        <v>82</v>
      </c>
      <c r="B11" s="49">
        <v>29.4</v>
      </c>
      <c r="C11" s="52">
        <v>19</v>
      </c>
      <c r="D11" s="49">
        <v>8.5</v>
      </c>
      <c r="E11" s="67">
        <v>0.15</v>
      </c>
      <c r="F11" s="50">
        <v>85</v>
      </c>
      <c r="G11" s="49">
        <v>5.9</v>
      </c>
      <c r="H11" s="49">
        <v>4.3</v>
      </c>
      <c r="I11" s="49">
        <v>2.6</v>
      </c>
      <c r="J11" s="50">
        <v>85</v>
      </c>
      <c r="K11" s="49">
        <v>15.8</v>
      </c>
      <c r="L11" s="49">
        <v>10</v>
      </c>
      <c r="M11" s="49">
        <v>4.2</v>
      </c>
      <c r="N11" s="50">
        <v>95</v>
      </c>
    </row>
    <row r="12" spans="1:14" x14ac:dyDescent="0.2">
      <c r="A12" s="39" t="s">
        <v>83</v>
      </c>
      <c r="B12" s="49">
        <v>14.1</v>
      </c>
      <c r="C12" s="49">
        <v>11.8</v>
      </c>
      <c r="D12" s="49">
        <v>9.4</v>
      </c>
      <c r="E12" s="67">
        <v>0.5</v>
      </c>
      <c r="F12" s="50">
        <v>85</v>
      </c>
      <c r="G12" s="49">
        <v>4.7</v>
      </c>
      <c r="H12" s="49">
        <v>3.5</v>
      </c>
      <c r="I12" s="49">
        <v>2.4</v>
      </c>
      <c r="J12" s="50">
        <v>85</v>
      </c>
      <c r="K12" s="49">
        <v>8.4</v>
      </c>
      <c r="L12" s="49">
        <v>5.2</v>
      </c>
      <c r="M12" s="49">
        <v>2.2000000000000002</v>
      </c>
      <c r="N12" s="50">
        <v>95</v>
      </c>
    </row>
    <row r="13" spans="1:14" x14ac:dyDescent="0.2">
      <c r="B13" s="78"/>
      <c r="C13" s="78"/>
      <c r="D13" s="78"/>
      <c r="F13" s="53"/>
      <c r="G13" s="4"/>
      <c r="H13" s="4"/>
      <c r="I13" s="4"/>
      <c r="J13" s="4"/>
      <c r="K13" s="2"/>
      <c r="L13" s="2"/>
    </row>
    <row r="14" spans="1:14" x14ac:dyDescent="0.2">
      <c r="F14" s="53"/>
    </row>
    <row r="15" spans="1:14" x14ac:dyDescent="0.2">
      <c r="A15" s="21" t="s">
        <v>84</v>
      </c>
      <c r="B15" s="68" t="s">
        <v>85</v>
      </c>
      <c r="F15" s="53"/>
    </row>
    <row r="16" spans="1:14" x14ac:dyDescent="0.2">
      <c r="A16" s="39" t="s">
        <v>86</v>
      </c>
      <c r="B16" s="67">
        <v>1</v>
      </c>
      <c r="F16" s="53"/>
    </row>
    <row r="17" spans="1:6" x14ac:dyDescent="0.2">
      <c r="A17" s="39" t="s">
        <v>87</v>
      </c>
      <c r="B17" s="67">
        <v>0.75</v>
      </c>
      <c r="F17" s="53"/>
    </row>
    <row r="18" spans="1:6" x14ac:dyDescent="0.2">
      <c r="A18" s="39" t="s">
        <v>88</v>
      </c>
      <c r="B18" s="67">
        <v>0.75</v>
      </c>
      <c r="F18" s="53"/>
    </row>
    <row r="19" spans="1:6" x14ac:dyDescent="0.2">
      <c r="A19" s="39" t="s">
        <v>89</v>
      </c>
      <c r="B19" s="67">
        <v>1.75</v>
      </c>
      <c r="F19" s="53"/>
    </row>
  </sheetData>
  <mergeCells count="1">
    <mergeCell ref="B13:D13"/>
  </mergeCells>
  <phoneticPr fontId="5" type="noConversion"/>
  <pageMargins left="0.75" right="0.75" top="1" bottom="1" header="0.5" footer="0.5"/>
  <pageSetup orientation="landscape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5"/>
  <sheetViews>
    <sheetView workbookViewId="0">
      <selection activeCell="B17" sqref="B17"/>
    </sheetView>
  </sheetViews>
  <sheetFormatPr defaultColWidth="11" defaultRowHeight="12.75" x14ac:dyDescent="0.2"/>
  <cols>
    <col min="1" max="1" width="30.625" customWidth="1"/>
    <col min="2" max="4" width="22.375" customWidth="1"/>
    <col min="5" max="5" width="24.125" customWidth="1"/>
    <col min="6" max="6" width="25.125" customWidth="1"/>
    <col min="7" max="7" width="19.625" customWidth="1"/>
    <col min="8" max="19" width="24.5" customWidth="1"/>
  </cols>
  <sheetData>
    <row r="1" spans="1:22" ht="51" x14ac:dyDescent="0.2">
      <c r="A1" s="20"/>
      <c r="B1" s="54" t="s">
        <v>90</v>
      </c>
      <c r="C1" s="54" t="s">
        <v>52</v>
      </c>
      <c r="D1" s="54" t="s">
        <v>91</v>
      </c>
      <c r="E1" s="55" t="s">
        <v>31</v>
      </c>
      <c r="F1" s="54" t="s">
        <v>92</v>
      </c>
      <c r="G1" s="54" t="s">
        <v>93</v>
      </c>
      <c r="H1" s="54" t="s">
        <v>94</v>
      </c>
      <c r="I1" s="54" t="s">
        <v>95</v>
      </c>
      <c r="J1" s="54" t="s">
        <v>96</v>
      </c>
      <c r="K1" s="54" t="s">
        <v>97</v>
      </c>
      <c r="L1" s="54" t="s">
        <v>98</v>
      </c>
      <c r="M1" s="54" t="s">
        <v>99</v>
      </c>
      <c r="N1" s="54" t="s">
        <v>100</v>
      </c>
      <c r="O1" s="54" t="s">
        <v>101</v>
      </c>
      <c r="P1" s="54" t="s">
        <v>102</v>
      </c>
      <c r="Q1" s="54" t="s">
        <v>54</v>
      </c>
      <c r="R1" s="20" t="s">
        <v>31</v>
      </c>
      <c r="S1" s="54" t="s">
        <v>103</v>
      </c>
      <c r="T1" s="54" t="s">
        <v>57</v>
      </c>
      <c r="U1" s="56" t="s">
        <v>104</v>
      </c>
      <c r="V1" s="20" t="s">
        <v>31</v>
      </c>
    </row>
    <row r="2" spans="1:22" x14ac:dyDescent="0.2">
      <c r="A2" s="39" t="s">
        <v>51</v>
      </c>
      <c r="B2" s="52">
        <v>30</v>
      </c>
      <c r="C2" s="52">
        <v>18.5</v>
      </c>
      <c r="D2" s="52">
        <v>7</v>
      </c>
      <c r="E2" s="57">
        <v>100</v>
      </c>
      <c r="F2" s="52">
        <v>23.5</v>
      </c>
      <c r="G2" s="52">
        <v>20.6</v>
      </c>
      <c r="H2" s="52">
        <v>17.600000000000001</v>
      </c>
      <c r="I2" s="52">
        <v>17.600000000000001</v>
      </c>
      <c r="J2" s="52">
        <v>14.7</v>
      </c>
      <c r="K2" s="52">
        <v>11.8</v>
      </c>
      <c r="L2" s="52">
        <v>11.8</v>
      </c>
      <c r="M2" s="52">
        <v>10.3</v>
      </c>
      <c r="N2" s="52">
        <v>8.8000000000000007</v>
      </c>
      <c r="O2" s="52">
        <v>7.6</v>
      </c>
      <c r="P2" s="52">
        <v>6.8</v>
      </c>
      <c r="Q2" s="52">
        <v>5.9</v>
      </c>
      <c r="R2" s="50">
        <v>85</v>
      </c>
      <c r="S2" s="52">
        <v>0.4</v>
      </c>
      <c r="T2" s="52">
        <v>0.3</v>
      </c>
      <c r="U2" s="52">
        <v>0.2</v>
      </c>
      <c r="V2" s="50">
        <v>65</v>
      </c>
    </row>
    <row r="3" spans="1:22" x14ac:dyDescent="0.2">
      <c r="A3" s="39" t="s">
        <v>105</v>
      </c>
      <c r="B3" s="52">
        <v>30</v>
      </c>
      <c r="C3" s="52">
        <v>18.5</v>
      </c>
      <c r="D3" s="52">
        <v>7</v>
      </c>
      <c r="E3" s="57">
        <v>100</v>
      </c>
      <c r="F3" s="52">
        <v>23.5</v>
      </c>
      <c r="G3" s="52">
        <v>20.6</v>
      </c>
      <c r="H3" s="52">
        <v>17.600000000000001</v>
      </c>
      <c r="I3" s="52">
        <v>17.600000000000001</v>
      </c>
      <c r="J3" s="52">
        <v>14.7</v>
      </c>
      <c r="K3" s="52">
        <v>11.8</v>
      </c>
      <c r="L3" s="52">
        <v>11.8</v>
      </c>
      <c r="M3" s="52">
        <v>10.3</v>
      </c>
      <c r="N3" s="52">
        <v>8.8000000000000007</v>
      </c>
      <c r="O3" s="52">
        <v>7.6</v>
      </c>
      <c r="P3" s="52">
        <v>6.8</v>
      </c>
      <c r="Q3" s="52">
        <v>5.9</v>
      </c>
      <c r="R3" s="50">
        <v>85</v>
      </c>
      <c r="S3" s="52">
        <v>0.4</v>
      </c>
      <c r="T3" s="52">
        <v>0.3</v>
      </c>
      <c r="U3" s="52">
        <v>0.2</v>
      </c>
      <c r="V3" s="50">
        <v>65</v>
      </c>
    </row>
    <row r="4" spans="1:22" x14ac:dyDescent="0.2">
      <c r="A4" s="39" t="s">
        <v>106</v>
      </c>
      <c r="B4" s="52">
        <v>25</v>
      </c>
      <c r="C4" s="52">
        <v>16</v>
      </c>
      <c r="D4" s="52">
        <v>7</v>
      </c>
      <c r="E4" s="57">
        <v>100</v>
      </c>
      <c r="F4" s="52">
        <v>23.5</v>
      </c>
      <c r="G4" s="52">
        <v>20.6</v>
      </c>
      <c r="H4" s="52">
        <v>17.600000000000001</v>
      </c>
      <c r="I4" s="52">
        <v>17.600000000000001</v>
      </c>
      <c r="J4" s="52">
        <v>14.7</v>
      </c>
      <c r="K4" s="52">
        <v>11.8</v>
      </c>
      <c r="L4" s="52">
        <v>11.8</v>
      </c>
      <c r="M4" s="52">
        <v>10.3</v>
      </c>
      <c r="N4" s="52">
        <v>8.8000000000000007</v>
      </c>
      <c r="O4" s="52">
        <v>7.6</v>
      </c>
      <c r="P4" s="52">
        <v>6.8</v>
      </c>
      <c r="Q4" s="52">
        <v>5.9</v>
      </c>
      <c r="R4" s="50">
        <v>85</v>
      </c>
      <c r="S4" s="52">
        <v>0.3</v>
      </c>
      <c r="T4" s="52">
        <v>0.2</v>
      </c>
      <c r="U4" s="52">
        <v>0.2</v>
      </c>
      <c r="V4" s="50">
        <v>65</v>
      </c>
    </row>
    <row r="5" spans="1:22" x14ac:dyDescent="0.2">
      <c r="A5" s="39" t="s">
        <v>107</v>
      </c>
      <c r="B5" s="52">
        <v>50</v>
      </c>
      <c r="C5" s="52">
        <v>31</v>
      </c>
      <c r="D5" s="52">
        <v>12</v>
      </c>
      <c r="E5" s="57">
        <v>100</v>
      </c>
      <c r="F5" s="52">
        <v>21.2</v>
      </c>
      <c r="G5" s="52">
        <v>17.600000000000001</v>
      </c>
      <c r="H5" s="52">
        <v>14.1</v>
      </c>
      <c r="I5" s="52">
        <v>14.1</v>
      </c>
      <c r="J5" s="52">
        <v>12.9</v>
      </c>
      <c r="K5" s="52">
        <v>11.8</v>
      </c>
      <c r="L5" s="52">
        <v>10</v>
      </c>
      <c r="M5" s="52">
        <v>8.5</v>
      </c>
      <c r="N5" s="52">
        <v>7.1</v>
      </c>
      <c r="O5" s="52">
        <v>5.9</v>
      </c>
      <c r="P5" s="52">
        <v>5</v>
      </c>
      <c r="Q5" s="52">
        <v>4.0999999999999996</v>
      </c>
      <c r="R5" s="50">
        <v>85</v>
      </c>
      <c r="S5" s="52">
        <v>0.6</v>
      </c>
      <c r="T5" s="52">
        <v>0.4</v>
      </c>
      <c r="U5" s="52">
        <v>0.2</v>
      </c>
      <c r="V5" s="50">
        <v>65</v>
      </c>
    </row>
    <row r="6" spans="1:22" x14ac:dyDescent="0.2">
      <c r="A6" s="39" t="s">
        <v>108</v>
      </c>
      <c r="B6" s="52">
        <v>25</v>
      </c>
      <c r="C6" s="52">
        <v>15.5</v>
      </c>
      <c r="D6" s="52">
        <v>6</v>
      </c>
      <c r="E6" s="57">
        <v>100</v>
      </c>
      <c r="F6" s="52">
        <v>27.1</v>
      </c>
      <c r="G6" s="52">
        <v>22.4</v>
      </c>
      <c r="H6" s="52">
        <v>17.600000000000001</v>
      </c>
      <c r="I6" s="52">
        <v>23.5</v>
      </c>
      <c r="J6" s="52">
        <v>17.600000000000001</v>
      </c>
      <c r="K6" s="52">
        <v>11.8</v>
      </c>
      <c r="L6" s="52">
        <v>14.1</v>
      </c>
      <c r="M6" s="52">
        <v>10</v>
      </c>
      <c r="N6" s="52">
        <v>5.9</v>
      </c>
      <c r="O6" s="52">
        <v>8.8000000000000007</v>
      </c>
      <c r="P6" s="52">
        <v>6.8</v>
      </c>
      <c r="Q6" s="52">
        <v>4.7</v>
      </c>
      <c r="R6" s="50">
        <v>85</v>
      </c>
      <c r="S6" s="52">
        <v>0.3</v>
      </c>
      <c r="T6" s="52">
        <v>0.2</v>
      </c>
      <c r="U6" s="52">
        <v>0.2</v>
      </c>
      <c r="V6" s="50">
        <v>65</v>
      </c>
    </row>
    <row r="7" spans="1:22" x14ac:dyDescent="0.2">
      <c r="A7" s="58"/>
      <c r="B7" s="4"/>
      <c r="C7" s="4"/>
      <c r="D7" s="4"/>
      <c r="E7" s="4"/>
    </row>
    <row r="8" spans="1:22" x14ac:dyDescent="0.2">
      <c r="E8" s="4"/>
    </row>
    <row r="9" spans="1:22" s="3" customFormat="1" x14ac:dyDescent="0.2">
      <c r="A9" s="21" t="s">
        <v>109</v>
      </c>
      <c r="B9" s="21" t="s">
        <v>110</v>
      </c>
      <c r="C9" s="21" t="s">
        <v>111</v>
      </c>
      <c r="D9" s="21" t="s">
        <v>112</v>
      </c>
      <c r="E9" s="47" t="s">
        <v>31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</row>
    <row r="10" spans="1:22" x14ac:dyDescent="0.2">
      <c r="A10" s="39" t="s">
        <v>58</v>
      </c>
      <c r="B10" s="60">
        <v>0.6</v>
      </c>
      <c r="C10" s="60">
        <v>0.6</v>
      </c>
      <c r="D10" s="60">
        <v>0.5</v>
      </c>
      <c r="E10" s="50">
        <v>95</v>
      </c>
    </row>
    <row r="11" spans="1:22" x14ac:dyDescent="0.2">
      <c r="A11" s="39" t="s">
        <v>59</v>
      </c>
      <c r="B11" s="60">
        <v>12.6</v>
      </c>
      <c r="C11" s="60">
        <v>10.3</v>
      </c>
      <c r="D11" s="60">
        <v>7.9</v>
      </c>
      <c r="E11" s="50">
        <v>95</v>
      </c>
    </row>
    <row r="12" spans="1:22" x14ac:dyDescent="0.2">
      <c r="E12" s="4"/>
    </row>
    <row r="13" spans="1:22" x14ac:dyDescent="0.2">
      <c r="E13" s="4"/>
    </row>
    <row r="14" spans="1:22" x14ac:dyDescent="0.2">
      <c r="E14" s="4"/>
    </row>
    <row r="15" spans="1:22" x14ac:dyDescent="0.2">
      <c r="E15" s="4"/>
    </row>
  </sheetData>
  <phoneticPr fontId="5" type="noConversion"/>
  <pageMargins left="0.75" right="0.75" top="1" bottom="1" header="0.5" footer="0.5"/>
  <pageSetup orientation="landscape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5"/>
  <sheetViews>
    <sheetView workbookViewId="0">
      <selection activeCell="B18" sqref="B18"/>
    </sheetView>
  </sheetViews>
  <sheetFormatPr defaultColWidth="11" defaultRowHeight="12.75" x14ac:dyDescent="0.2"/>
  <cols>
    <col min="1" max="1" width="21.875" customWidth="1"/>
  </cols>
  <sheetData>
    <row r="1" spans="1:5" x14ac:dyDescent="0.2">
      <c r="A1" s="5" t="s">
        <v>0</v>
      </c>
      <c r="B1" s="6"/>
    </row>
    <row r="2" spans="1:5" x14ac:dyDescent="0.2">
      <c r="A2" s="6" t="s">
        <v>17</v>
      </c>
      <c r="B2" s="6">
        <v>40</v>
      </c>
    </row>
    <row r="3" spans="1:5" x14ac:dyDescent="0.2">
      <c r="A3" s="6" t="s">
        <v>18</v>
      </c>
      <c r="B3" s="6">
        <v>50</v>
      </c>
    </row>
    <row r="4" spans="1:5" x14ac:dyDescent="0.2">
      <c r="A4" s="6" t="s">
        <v>19</v>
      </c>
      <c r="B4" s="6">
        <v>75</v>
      </c>
    </row>
    <row r="5" spans="1:5" x14ac:dyDescent="0.2">
      <c r="A5" s="6" t="s">
        <v>20</v>
      </c>
      <c r="B5" s="6">
        <v>64</v>
      </c>
    </row>
    <row r="6" spans="1:5" x14ac:dyDescent="0.2">
      <c r="A6" s="6" t="s">
        <v>21</v>
      </c>
      <c r="B6" s="6">
        <v>35</v>
      </c>
    </row>
    <row r="7" spans="1:5" x14ac:dyDescent="0.2">
      <c r="A7" s="6" t="s">
        <v>22</v>
      </c>
      <c r="B7" s="6">
        <v>50</v>
      </c>
    </row>
    <row r="8" spans="1:5" x14ac:dyDescent="0.2">
      <c r="A8" s="6" t="s">
        <v>1</v>
      </c>
      <c r="B8" s="6">
        <v>50</v>
      </c>
    </row>
    <row r="9" spans="1:5" x14ac:dyDescent="0.2">
      <c r="A9" s="6" t="s">
        <v>2</v>
      </c>
      <c r="B9" s="6">
        <v>50</v>
      </c>
    </row>
    <row r="10" spans="1:5" x14ac:dyDescent="0.2">
      <c r="A10" s="6" t="s">
        <v>3</v>
      </c>
      <c r="B10" s="6">
        <v>60</v>
      </c>
    </row>
    <row r="11" spans="1:5" x14ac:dyDescent="0.2">
      <c r="A11" s="6" t="s">
        <v>4</v>
      </c>
      <c r="B11" s="6">
        <v>75</v>
      </c>
    </row>
    <row r="12" spans="1:5" x14ac:dyDescent="0.2">
      <c r="A12" s="6" t="s">
        <v>5</v>
      </c>
      <c r="B12" s="6">
        <v>60</v>
      </c>
    </row>
    <row r="14" spans="1:5" x14ac:dyDescent="0.2">
      <c r="A14" s="79" t="s">
        <v>6</v>
      </c>
      <c r="B14" s="79"/>
      <c r="C14" s="79"/>
      <c r="D14" s="79"/>
      <c r="E14" s="79"/>
    </row>
    <row r="15" spans="1:5" x14ac:dyDescent="0.2">
      <c r="A15" s="79"/>
      <c r="B15" s="79"/>
      <c r="C15" s="79"/>
      <c r="D15" s="79"/>
      <c r="E15" s="79"/>
    </row>
  </sheetData>
  <mergeCells count="1">
    <mergeCell ref="A14:E15"/>
  </mergeCells>
  <phoneticPr fontId="5" type="noConversion"/>
  <pageMargins left="0.75" right="0.75" top="1" bottom="1" header="0.5" footer="0.5"/>
  <pageSetup paperSize="297" orientation="landscape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workbookViewId="0">
      <selection sqref="A1:E4"/>
    </sheetView>
  </sheetViews>
  <sheetFormatPr defaultColWidth="11" defaultRowHeight="12.75" x14ac:dyDescent="0.2"/>
  <cols>
    <col min="1" max="1" width="15.5" style="3" customWidth="1"/>
    <col min="2" max="6" width="24.625" customWidth="1"/>
  </cols>
  <sheetData>
    <row r="1" spans="1:5" s="1" customFormat="1" x14ac:dyDescent="0.2">
      <c r="A1" s="7"/>
      <c r="B1" s="5" t="s">
        <v>8</v>
      </c>
      <c r="C1" s="5" t="s">
        <v>7</v>
      </c>
      <c r="D1" s="5" t="s">
        <v>16</v>
      </c>
      <c r="E1" s="5" t="s">
        <v>9</v>
      </c>
    </row>
    <row r="2" spans="1:5" x14ac:dyDescent="0.2">
      <c r="A2" s="10" t="s">
        <v>116</v>
      </c>
      <c r="B2" s="8">
        <v>200</v>
      </c>
      <c r="C2" s="8">
        <f>AVERAGE(B2,E2)*1.25</f>
        <v>162.5</v>
      </c>
      <c r="D2" s="8">
        <f>AVERAGE(B2,E2)*0.75</f>
        <v>97.5</v>
      </c>
      <c r="E2" s="8">
        <v>60</v>
      </c>
    </row>
    <row r="3" spans="1:5" x14ac:dyDescent="0.2">
      <c r="A3" s="7" t="s">
        <v>23</v>
      </c>
      <c r="B3" s="8">
        <v>250</v>
      </c>
      <c r="C3" s="8">
        <f t="shared" ref="C3:C4" si="0">AVERAGE(B3,E3)*1.25</f>
        <v>196.875</v>
      </c>
      <c r="D3" s="8">
        <f t="shared" ref="D3:D4" si="1">AVERAGE(B3,E3)*0.75</f>
        <v>118.125</v>
      </c>
      <c r="E3" s="8">
        <v>65</v>
      </c>
    </row>
    <row r="4" spans="1:5" x14ac:dyDescent="0.2">
      <c r="A4" s="7" t="s">
        <v>24</v>
      </c>
      <c r="B4" s="8">
        <v>150</v>
      </c>
      <c r="C4" s="8">
        <f t="shared" si="0"/>
        <v>131.25</v>
      </c>
      <c r="D4" s="8">
        <f t="shared" si="1"/>
        <v>78.75</v>
      </c>
      <c r="E4" s="8">
        <v>60</v>
      </c>
    </row>
  </sheetData>
  <phoneticPr fontId="5" type="noConversion"/>
  <pageMargins left="0.75" right="0.75" top="1" bottom="1" header="0.5" footer="0.5"/>
  <pageSetup orientation="landscape" horizontalDpi="0" verticalDpi="0"/>
  <colBreaks count="1" manualBreakCount="1">
    <brk id="5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25</vt:i4>
      </vt:variant>
    </vt:vector>
  </HeadingPairs>
  <TitlesOfParts>
    <vt:vector size="30" baseType="lpstr">
      <vt:lpstr>Book Design Estimating</vt:lpstr>
      <vt:lpstr>Cover Design Table</vt:lpstr>
      <vt:lpstr>Interior Design Table</vt:lpstr>
      <vt:lpstr>Designer Hourly Rates</vt:lpstr>
      <vt:lpstr>Production Hourly Rate</vt:lpstr>
      <vt:lpstr>Lookup_array_Cover_Design</vt:lpstr>
      <vt:lpstr>Lookup_array_Intellectual_Property_Rights</vt:lpstr>
      <vt:lpstr>Lookup_array_Interior_additionals</vt:lpstr>
      <vt:lpstr>Lookup_array_Interior_design</vt:lpstr>
      <vt:lpstr>Lookup_array_Production_rate</vt:lpstr>
      <vt:lpstr>Menu_Additional_Concept</vt:lpstr>
      <vt:lpstr>Menu_Additional_Cover_Concept</vt:lpstr>
      <vt:lpstr>Menu_Complex_Cover_Illustration</vt:lpstr>
      <vt:lpstr>Menu_Cover_Design</vt:lpstr>
      <vt:lpstr>Menu_Freelance_Rates</vt:lpstr>
      <vt:lpstr>Menu_Initial_Cover_Concept</vt:lpstr>
      <vt:lpstr>Menu_Intellectual_Property_Rights</vt:lpstr>
      <vt:lpstr>Menu_Interior_design_category</vt:lpstr>
      <vt:lpstr>Menu_Interior_design_complexity</vt:lpstr>
      <vt:lpstr>Menu_Interior_illustration_complexity</vt:lpstr>
      <vt:lpstr>Menu_Page_makeup</vt:lpstr>
      <vt:lpstr>Menu_Production_Activity</vt:lpstr>
      <vt:lpstr>Menu_Production_rate</vt:lpstr>
      <vt:lpstr>Menu_Sketch_complexity</vt:lpstr>
      <vt:lpstr>Table_array_Cover_Design</vt:lpstr>
      <vt:lpstr>Table_array_Freelance_rates</vt:lpstr>
      <vt:lpstr>Table_array_Interior_additionals</vt:lpstr>
      <vt:lpstr>Table_array_Interior_design</vt:lpstr>
      <vt:lpstr>Table_Array_IRP</vt:lpstr>
      <vt:lpstr>Table_array_Production_rate</vt:lpstr>
    </vt:vector>
  </TitlesOfParts>
  <Company>Cal Poly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 Lo</dc:creator>
  <cp:lastModifiedBy>Barrett Lo</cp:lastModifiedBy>
  <cp:lastPrinted>2009-05-27T17:07:38Z</cp:lastPrinted>
  <dcterms:created xsi:type="dcterms:W3CDTF">2009-05-22T17:28:15Z</dcterms:created>
  <dcterms:modified xsi:type="dcterms:W3CDTF">2021-12-08T07:55:02Z</dcterms:modified>
</cp:coreProperties>
</file>